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steigeree-my.sharepoint.com/personal/erki_vaguri_steiger_ee/Documents/rapla pärnu/eskiis/varustuskindlus/"/>
    </mc:Choice>
  </mc:AlternateContent>
  <xr:revisionPtr revIDLastSave="0" documentId="8_{E56EBB2A-92CE-4FF9-8116-58119FEEF5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kkuvõte" sheetId="4" r:id="rId1"/>
    <sheet name="Rapla mk" sheetId="2" r:id="rId2"/>
    <sheet name="Pärnu m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2" l="1"/>
  <c r="X5" i="2"/>
  <c r="X4" i="2"/>
  <c r="X3" i="2"/>
  <c r="X2" i="2"/>
  <c r="X2" i="3"/>
  <c r="X5" i="3"/>
  <c r="X4" i="3"/>
  <c r="X3" i="3"/>
  <c r="X6" i="3"/>
  <c r="K67" i="3"/>
  <c r="J67" i="3"/>
  <c r="I67" i="3"/>
  <c r="K66" i="3"/>
  <c r="J66" i="3"/>
  <c r="I66" i="3"/>
  <c r="H66" i="3"/>
  <c r="M62" i="3"/>
  <c r="N62" i="3"/>
  <c r="L62" i="3"/>
  <c r="K62" i="3"/>
  <c r="J62" i="3"/>
  <c r="I62" i="3"/>
  <c r="M55" i="3"/>
  <c r="L55" i="3"/>
  <c r="K55" i="3"/>
  <c r="J55" i="3"/>
  <c r="I55" i="3"/>
  <c r="I68" i="2"/>
  <c r="L61" i="2"/>
  <c r="K61" i="2"/>
  <c r="J61" i="2"/>
  <c r="I61" i="2"/>
  <c r="J54" i="2"/>
  <c r="I54" i="2"/>
  <c r="K61" i="3"/>
  <c r="J61" i="3"/>
  <c r="I61" i="3"/>
  <c r="K60" i="3"/>
  <c r="J60" i="3"/>
  <c r="I60" i="3"/>
  <c r="P3" i="2"/>
  <c r="B26" i="4"/>
  <c r="J26" i="4" s="1"/>
  <c r="P7" i="2"/>
  <c r="P6" i="2"/>
  <c r="P5" i="2"/>
  <c r="P4" i="2"/>
  <c r="O4" i="2"/>
  <c r="L46" i="2"/>
  <c r="L47" i="2"/>
  <c r="L45" i="2"/>
  <c r="S12" i="2"/>
  <c r="S11" i="2"/>
  <c r="K60" i="2"/>
  <c r="J60" i="2"/>
  <c r="I60" i="2"/>
  <c r="K59" i="2"/>
  <c r="J59" i="2"/>
  <c r="I59" i="2"/>
  <c r="K58" i="2"/>
  <c r="J58" i="2"/>
  <c r="I58" i="2"/>
  <c r="K53" i="2"/>
  <c r="J53" i="2"/>
  <c r="I53" i="2"/>
  <c r="K52" i="2"/>
  <c r="J52" i="2"/>
  <c r="I52" i="2"/>
  <c r="K51" i="2"/>
  <c r="J51" i="2"/>
  <c r="I51" i="2"/>
  <c r="F31" i="4"/>
  <c r="F25" i="4"/>
  <c r="F19" i="4"/>
  <c r="F13" i="4"/>
  <c r="F7" i="4"/>
  <c r="C31" i="4"/>
  <c r="K31" i="4" s="1"/>
  <c r="C26" i="4"/>
  <c r="K26" i="4" s="1"/>
  <c r="C29" i="4"/>
  <c r="C25" i="4"/>
  <c r="C23" i="4"/>
  <c r="C19" i="4"/>
  <c r="C14" i="4"/>
  <c r="K14" i="4" s="1"/>
  <c r="C15" i="4"/>
  <c r="K15" i="4" s="1"/>
  <c r="C16" i="4"/>
  <c r="K16" i="4" s="1"/>
  <c r="C17" i="4"/>
  <c r="K17" i="4" s="1"/>
  <c r="C13" i="4"/>
  <c r="K13" i="4" s="1"/>
  <c r="C8" i="4"/>
  <c r="K8" i="4" s="1"/>
  <c r="C9" i="4"/>
  <c r="C10" i="4"/>
  <c r="K10" i="4" s="1"/>
  <c r="C11" i="4"/>
  <c r="K11" i="4" s="1"/>
  <c r="C7" i="4"/>
  <c r="D14" i="2"/>
  <c r="E13" i="2"/>
  <c r="F13" i="2"/>
  <c r="D13" i="2"/>
  <c r="K34" i="2" l="1"/>
  <c r="G26" i="4" l="1"/>
  <c r="G25" i="4"/>
  <c r="E25" i="4"/>
  <c r="T68" i="3"/>
  <c r="G28" i="4" s="1"/>
  <c r="T69" i="3"/>
  <c r="G29" i="4" s="1"/>
  <c r="T22" i="4"/>
  <c r="R16" i="4"/>
  <c r="T16" i="4"/>
  <c r="R17" i="4"/>
  <c r="T17" i="4"/>
  <c r="R19" i="4"/>
  <c r="T19" i="4"/>
  <c r="R20" i="4"/>
  <c r="T20" i="4"/>
  <c r="U11" i="4"/>
  <c r="U9" i="4"/>
  <c r="U8" i="4"/>
  <c r="S11" i="4"/>
  <c r="S9" i="4"/>
  <c r="S8" i="4"/>
  <c r="R8" i="4"/>
  <c r="T8" i="4"/>
  <c r="V8" i="4"/>
  <c r="Q9" i="4"/>
  <c r="R9" i="4"/>
  <c r="T9" i="4"/>
  <c r="V9" i="4"/>
  <c r="Q10" i="4"/>
  <c r="R11" i="4"/>
  <c r="T11" i="4"/>
  <c r="V11" i="4"/>
  <c r="R6" i="4"/>
  <c r="T6" i="4"/>
  <c r="V6" i="4"/>
  <c r="Q7" i="4"/>
  <c r="K24" i="2"/>
  <c r="K23" i="2"/>
  <c r="G34" i="4"/>
  <c r="G31" i="4"/>
  <c r="G20" i="4"/>
  <c r="G22" i="4"/>
  <c r="G23" i="4"/>
  <c r="G19" i="4"/>
  <c r="G16" i="4"/>
  <c r="G17" i="4"/>
  <c r="G13" i="4"/>
  <c r="E13" i="4"/>
  <c r="G8" i="4"/>
  <c r="G10" i="4"/>
  <c r="G11" i="4"/>
  <c r="G7" i="4"/>
  <c r="E7" i="4"/>
  <c r="L37" i="2"/>
  <c r="B33" i="4"/>
  <c r="J33" i="4" s="1"/>
  <c r="B34" i="4"/>
  <c r="J34" i="4" s="1"/>
  <c r="B35" i="4"/>
  <c r="J35" i="4" s="1"/>
  <c r="B31" i="4"/>
  <c r="D33" i="4"/>
  <c r="D34" i="4"/>
  <c r="D35" i="4"/>
  <c r="D31" i="4"/>
  <c r="L31" i="4" s="1"/>
  <c r="D27" i="4"/>
  <c r="D28" i="4"/>
  <c r="D29" i="4"/>
  <c r="D25" i="4"/>
  <c r="B27" i="4"/>
  <c r="J27" i="4" s="1"/>
  <c r="B28" i="4"/>
  <c r="J28" i="4" s="1"/>
  <c r="B29" i="4"/>
  <c r="J29" i="4" s="1"/>
  <c r="B25" i="4"/>
  <c r="D23" i="4"/>
  <c r="D21" i="4"/>
  <c r="D22" i="4"/>
  <c r="D19" i="4"/>
  <c r="B21" i="4"/>
  <c r="J21" i="4" s="1"/>
  <c r="B22" i="4"/>
  <c r="J22" i="4" s="1"/>
  <c r="B23" i="4"/>
  <c r="J23" i="4" s="1"/>
  <c r="B19" i="4"/>
  <c r="D15" i="4"/>
  <c r="D16" i="4"/>
  <c r="D17" i="4"/>
  <c r="D13" i="4"/>
  <c r="L13" i="4" s="1"/>
  <c r="B15" i="4"/>
  <c r="J15" i="4" s="1"/>
  <c r="B16" i="4"/>
  <c r="J16" i="4" s="1"/>
  <c r="B17" i="4"/>
  <c r="J17" i="4" s="1"/>
  <c r="B13" i="4"/>
  <c r="D9" i="4"/>
  <c r="D10" i="4"/>
  <c r="D11" i="4"/>
  <c r="D7" i="4"/>
  <c r="B9" i="4"/>
  <c r="J9" i="4" s="1"/>
  <c r="B10" i="4"/>
  <c r="J10" i="4" s="1"/>
  <c r="B11" i="4"/>
  <c r="J11" i="4" s="1"/>
  <c r="B7" i="4"/>
  <c r="J41" i="2"/>
  <c r="L57" i="2"/>
  <c r="M57" i="2"/>
  <c r="N57" i="2"/>
  <c r="O57" i="2"/>
  <c r="P57" i="2"/>
  <c r="Q57" i="2"/>
  <c r="R57" i="2"/>
  <c r="S57" i="2"/>
  <c r="T57" i="2"/>
  <c r="K57" i="2"/>
  <c r="H51" i="3"/>
  <c r="H58" i="3" s="1"/>
  <c r="E31" i="4" s="1"/>
  <c r="K48" i="3"/>
  <c r="K47" i="3"/>
  <c r="I47" i="3"/>
  <c r="L47" i="3" s="1"/>
  <c r="L43" i="3"/>
  <c r="L44" i="3"/>
  <c r="L45" i="3"/>
  <c r="L42" i="3"/>
  <c r="H68" i="2"/>
  <c r="J67" i="2"/>
  <c r="H61" i="2"/>
  <c r="H60" i="2"/>
  <c r="H59" i="2"/>
  <c r="H54" i="2"/>
  <c r="H53" i="2"/>
  <c r="H52" i="2"/>
  <c r="S66" i="2"/>
  <c r="T66" i="2"/>
  <c r="I67" i="2"/>
  <c r="S67" i="2"/>
  <c r="T67" i="2"/>
  <c r="H67" i="2"/>
  <c r="H66" i="2"/>
  <c r="I66" i="2"/>
  <c r="L53" i="2"/>
  <c r="M53" i="2" s="1"/>
  <c r="N53" i="2" s="1"/>
  <c r="K21" i="2"/>
  <c r="K20" i="2"/>
  <c r="E19" i="4" l="1"/>
  <c r="V20" i="4"/>
  <c r="O53" i="2"/>
  <c r="P53" i="2" s="1"/>
  <c r="Q53" i="2" s="1"/>
  <c r="Q67" i="2" s="1"/>
  <c r="C22" i="4"/>
  <c r="K22" i="4" s="1"/>
  <c r="F23" i="4"/>
  <c r="M69" i="3"/>
  <c r="V17" i="4"/>
  <c r="V16" i="4"/>
  <c r="V19" i="4"/>
  <c r="R67" i="2"/>
  <c r="M67" i="2"/>
  <c r="K67" i="2"/>
  <c r="R66" i="2"/>
  <c r="L67" i="2"/>
  <c r="P67" i="2"/>
  <c r="O67" i="2"/>
  <c r="N67" i="2"/>
  <c r="C28" i="4" s="1"/>
  <c r="K28" i="4" s="1"/>
  <c r="I46" i="3"/>
  <c r="K36" i="3"/>
  <c r="L36" i="3" s="1"/>
  <c r="P3" i="3" s="1"/>
  <c r="K37" i="3"/>
  <c r="L37" i="3" s="1"/>
  <c r="K38" i="3"/>
  <c r="L38" i="3" s="1"/>
  <c r="K46" i="2"/>
  <c r="K47" i="2"/>
  <c r="K45" i="2"/>
  <c r="R11" i="3"/>
  <c r="S11" i="3" s="1"/>
  <c r="F12" i="3"/>
  <c r="H12" i="3" s="1"/>
  <c r="E12" i="3"/>
  <c r="O3" i="3" s="1"/>
  <c r="D12" i="3"/>
  <c r="G12" i="3" s="1"/>
  <c r="R12" i="3"/>
  <c r="S12" i="3" s="1"/>
  <c r="N7" i="3"/>
  <c r="M7" i="3"/>
  <c r="N6" i="3"/>
  <c r="M6" i="3"/>
  <c r="N5" i="3"/>
  <c r="M5" i="3"/>
  <c r="N4" i="3"/>
  <c r="M4" i="3"/>
  <c r="N3" i="3"/>
  <c r="M3" i="3"/>
  <c r="C47" i="3"/>
  <c r="E45" i="3" s="1"/>
  <c r="C41" i="3"/>
  <c r="E38" i="3" s="1"/>
  <c r="C33" i="3"/>
  <c r="E32" i="3" s="1"/>
  <c r="C28" i="3"/>
  <c r="E22" i="3" s="1"/>
  <c r="F3" i="3"/>
  <c r="F14" i="3" s="1"/>
  <c r="H14" i="3" s="1"/>
  <c r="F2" i="3"/>
  <c r="F5" i="3"/>
  <c r="F15" i="3" s="1"/>
  <c r="H15" i="3" s="1"/>
  <c r="F7" i="3"/>
  <c r="F10" i="3"/>
  <c r="F4" i="3"/>
  <c r="E10" i="3"/>
  <c r="E13" i="3" s="1"/>
  <c r="E7" i="3"/>
  <c r="E5" i="3"/>
  <c r="E15" i="3" s="1"/>
  <c r="E4" i="3"/>
  <c r="E3" i="3"/>
  <c r="E14" i="3" s="1"/>
  <c r="E2" i="3"/>
  <c r="E16" i="3" s="1"/>
  <c r="D10" i="3"/>
  <c r="D7" i="3"/>
  <c r="D5" i="3"/>
  <c r="D15" i="3" s="1"/>
  <c r="D4" i="3"/>
  <c r="D3" i="3"/>
  <c r="D14" i="3" s="1"/>
  <c r="D2" i="3"/>
  <c r="N6" i="2"/>
  <c r="N5" i="2"/>
  <c r="N7" i="2"/>
  <c r="D13" i="3" l="1"/>
  <c r="S16" i="4" s="1"/>
  <c r="P4" i="3"/>
  <c r="U16" i="4"/>
  <c r="O4" i="3"/>
  <c r="L46" i="3"/>
  <c r="R22" i="4"/>
  <c r="V22" i="4" s="1"/>
  <c r="I48" i="3"/>
  <c r="L48" i="3" s="1"/>
  <c r="F13" i="3"/>
  <c r="H13" i="3" s="1"/>
  <c r="P7" i="3"/>
  <c r="O7" i="3"/>
  <c r="P5" i="3"/>
  <c r="U22" i="4"/>
  <c r="O5" i="3"/>
  <c r="P6" i="3"/>
  <c r="O6" i="3"/>
  <c r="N69" i="3"/>
  <c r="F29" i="4" s="1"/>
  <c r="J66" i="2"/>
  <c r="H30" i="3"/>
  <c r="G14" i="3"/>
  <c r="H23" i="3"/>
  <c r="F16" i="3"/>
  <c r="H16" i="3" s="1"/>
  <c r="D16" i="3"/>
  <c r="H32" i="3" s="1"/>
  <c r="E46" i="3"/>
  <c r="J46" i="3"/>
  <c r="G15" i="3"/>
  <c r="I15" i="3" s="1"/>
  <c r="H31" i="3"/>
  <c r="H24" i="3"/>
  <c r="J43" i="3"/>
  <c r="J44" i="3"/>
  <c r="J42" i="3"/>
  <c r="H29" i="3"/>
  <c r="J45" i="3"/>
  <c r="I14" i="3"/>
  <c r="H22" i="3"/>
  <c r="I12" i="3"/>
  <c r="E37" i="3"/>
  <c r="E40" i="3"/>
  <c r="E39" i="3"/>
  <c r="E23" i="3"/>
  <c r="E21" i="3"/>
  <c r="E27" i="3"/>
  <c r="E26" i="3"/>
  <c r="E25" i="3"/>
  <c r="E24" i="3"/>
  <c r="C66" i="2"/>
  <c r="E65" i="2" s="1"/>
  <c r="C59" i="2"/>
  <c r="E56" i="2" s="1"/>
  <c r="N4" i="2"/>
  <c r="N3" i="2"/>
  <c r="F9" i="2"/>
  <c r="F12" i="2" s="1"/>
  <c r="K37" i="2" s="1"/>
  <c r="M37" i="2" s="1"/>
  <c r="N37" i="2" s="1"/>
  <c r="O37" i="2" s="1"/>
  <c r="P37" i="2" s="1"/>
  <c r="Q37" i="2" s="1"/>
  <c r="R37" i="2" s="1"/>
  <c r="S37" i="2" s="1"/>
  <c r="T37" i="2" s="1"/>
  <c r="R12" i="2"/>
  <c r="R11" i="2"/>
  <c r="C25" i="2"/>
  <c r="M7" i="2"/>
  <c r="M6" i="2"/>
  <c r="M5" i="2"/>
  <c r="M4" i="2"/>
  <c r="M3" i="2"/>
  <c r="C51" i="2"/>
  <c r="E49" i="2" s="1"/>
  <c r="C42" i="2"/>
  <c r="E37" i="2" s="1"/>
  <c r="I32" i="3" l="1"/>
  <c r="E17" i="4"/>
  <c r="M17" i="4" s="1"/>
  <c r="J48" i="3"/>
  <c r="S22" i="4"/>
  <c r="I24" i="3"/>
  <c r="J24" i="3" s="1"/>
  <c r="K24" i="3" s="1"/>
  <c r="L24" i="3" s="1"/>
  <c r="M24" i="3" s="1"/>
  <c r="N24" i="3" s="1"/>
  <c r="E10" i="4"/>
  <c r="M10" i="4" s="1"/>
  <c r="H54" i="3"/>
  <c r="I30" i="3"/>
  <c r="J30" i="3" s="1"/>
  <c r="K30" i="3" s="1"/>
  <c r="L30" i="3" s="1"/>
  <c r="M30" i="3" s="1"/>
  <c r="N30" i="3" s="1"/>
  <c r="E15" i="4"/>
  <c r="M15" i="4" s="1"/>
  <c r="G16" i="3"/>
  <c r="I16" i="3" s="1"/>
  <c r="I31" i="3"/>
  <c r="J31" i="3" s="1"/>
  <c r="K31" i="3" s="1"/>
  <c r="L31" i="3" s="1"/>
  <c r="M31" i="3" s="1"/>
  <c r="N31" i="3" s="1"/>
  <c r="E16" i="4"/>
  <c r="M16" i="4" s="1"/>
  <c r="I23" i="3"/>
  <c r="J23" i="3" s="1"/>
  <c r="K23" i="3" s="1"/>
  <c r="L23" i="3" s="1"/>
  <c r="M23" i="3" s="1"/>
  <c r="N23" i="3" s="1"/>
  <c r="H53" i="3"/>
  <c r="E9" i="4"/>
  <c r="M9" i="4" s="1"/>
  <c r="H25" i="3"/>
  <c r="G13" i="3"/>
  <c r="I13" i="3" s="1"/>
  <c r="I22" i="3"/>
  <c r="J22" i="3" s="1"/>
  <c r="K22" i="3" s="1"/>
  <c r="L22" i="3" s="1"/>
  <c r="M22" i="3" s="1"/>
  <c r="E8" i="4"/>
  <c r="M8" i="4" s="1"/>
  <c r="H52" i="3"/>
  <c r="I52" i="3" s="1"/>
  <c r="J52" i="3" s="1"/>
  <c r="K52" i="3" s="1"/>
  <c r="I29" i="3"/>
  <c r="J29" i="3" s="1"/>
  <c r="K29" i="3" s="1"/>
  <c r="L29" i="3" s="1"/>
  <c r="M29" i="3" s="1"/>
  <c r="E14" i="4"/>
  <c r="M14" i="4" s="1"/>
  <c r="O69" i="3"/>
  <c r="K66" i="2"/>
  <c r="L52" i="2"/>
  <c r="J47" i="3"/>
  <c r="E57" i="2"/>
  <c r="H12" i="2"/>
  <c r="E58" i="2"/>
  <c r="E64" i="2"/>
  <c r="C26" i="2"/>
  <c r="E25" i="2" s="1"/>
  <c r="E35" i="2"/>
  <c r="E34" i="2"/>
  <c r="E33" i="2"/>
  <c r="E32" i="2"/>
  <c r="E36" i="2"/>
  <c r="E47" i="2"/>
  <c r="E48" i="2"/>
  <c r="E21" i="2"/>
  <c r="E23" i="2"/>
  <c r="E40" i="2"/>
  <c r="E31" i="2"/>
  <c r="E50" i="2"/>
  <c r="E41" i="2"/>
  <c r="E39" i="2"/>
  <c r="E38" i="2"/>
  <c r="O23" i="3" l="1"/>
  <c r="P23" i="3" s="1"/>
  <c r="Q23" i="3" s="1"/>
  <c r="R23" i="3" s="1"/>
  <c r="S23" i="3" s="1"/>
  <c r="T23" i="3" s="1"/>
  <c r="G9" i="4" s="1"/>
  <c r="O9" i="4" s="1"/>
  <c r="F9" i="4"/>
  <c r="N9" i="4" s="1"/>
  <c r="I53" i="3"/>
  <c r="J53" i="3" s="1"/>
  <c r="K53" i="3" s="1"/>
  <c r="L53" i="3" s="1"/>
  <c r="M53" i="3" s="1"/>
  <c r="N53" i="3" s="1"/>
  <c r="H60" i="3"/>
  <c r="E21" i="4"/>
  <c r="M21" i="4" s="1"/>
  <c r="H67" i="3"/>
  <c r="I25" i="3"/>
  <c r="J25" i="3" s="1"/>
  <c r="K25" i="3" s="1"/>
  <c r="L25" i="3" s="1"/>
  <c r="M25" i="3" s="1"/>
  <c r="N25" i="3" s="1"/>
  <c r="H55" i="3"/>
  <c r="E11" i="4"/>
  <c r="M11" i="4" s="1"/>
  <c r="I54" i="3"/>
  <c r="H68" i="3"/>
  <c r="E28" i="4" s="1"/>
  <c r="M28" i="4" s="1"/>
  <c r="H61" i="3"/>
  <c r="E22" i="4"/>
  <c r="M22" i="4" s="1"/>
  <c r="O31" i="3"/>
  <c r="P31" i="3" s="1"/>
  <c r="Q31" i="3" s="1"/>
  <c r="R31" i="3" s="1"/>
  <c r="S31" i="3" s="1"/>
  <c r="F16" i="4"/>
  <c r="N16" i="4" s="1"/>
  <c r="O30" i="3"/>
  <c r="P30" i="3" s="1"/>
  <c r="Q30" i="3" s="1"/>
  <c r="R30" i="3" s="1"/>
  <c r="S30" i="3" s="1"/>
  <c r="T30" i="3" s="1"/>
  <c r="G15" i="4" s="1"/>
  <c r="O15" i="4" s="1"/>
  <c r="F15" i="4"/>
  <c r="N15" i="4" s="1"/>
  <c r="O24" i="3"/>
  <c r="P24" i="3" s="1"/>
  <c r="Q24" i="3" s="1"/>
  <c r="R24" i="3" s="1"/>
  <c r="S24" i="3" s="1"/>
  <c r="F10" i="4"/>
  <c r="N10" i="4" s="1"/>
  <c r="J32" i="3"/>
  <c r="K32" i="3" s="1"/>
  <c r="L32" i="3" s="1"/>
  <c r="M32" i="3" s="1"/>
  <c r="N32" i="3" s="1"/>
  <c r="N29" i="3"/>
  <c r="L52" i="3"/>
  <c r="M52" i="3" s="1"/>
  <c r="E20" i="4"/>
  <c r="M20" i="4" s="1"/>
  <c r="H59" i="3"/>
  <c r="I59" i="3" s="1"/>
  <c r="J59" i="3" s="1"/>
  <c r="K59" i="3" s="1"/>
  <c r="N22" i="3"/>
  <c r="P69" i="3"/>
  <c r="M52" i="2"/>
  <c r="L66" i="2"/>
  <c r="E24" i="2"/>
  <c r="E22" i="2"/>
  <c r="O32" i="3" l="1"/>
  <c r="P32" i="3" s="1"/>
  <c r="Q32" i="3" s="1"/>
  <c r="R32" i="3" s="1"/>
  <c r="F17" i="4"/>
  <c r="N17" i="4" s="1"/>
  <c r="L61" i="3"/>
  <c r="M61" i="3" s="1"/>
  <c r="N61" i="3" s="1"/>
  <c r="E34" i="4"/>
  <c r="M34" i="4" s="1"/>
  <c r="J54" i="3"/>
  <c r="I68" i="3"/>
  <c r="H69" i="3"/>
  <c r="E29" i="4" s="1"/>
  <c r="M29" i="4" s="1"/>
  <c r="H62" i="3"/>
  <c r="E23" i="4"/>
  <c r="M23" i="4" s="1"/>
  <c r="O22" i="3"/>
  <c r="P22" i="3" s="1"/>
  <c r="Q22" i="3" s="1"/>
  <c r="R22" i="3" s="1"/>
  <c r="S22" i="3" s="1"/>
  <c r="F8" i="4"/>
  <c r="N8" i="4" s="1"/>
  <c r="L67" i="3"/>
  <c r="M67" i="3" s="1"/>
  <c r="N67" i="3" s="1"/>
  <c r="E27" i="4"/>
  <c r="M27" i="4" s="1"/>
  <c r="O25" i="3"/>
  <c r="P25" i="3" s="1"/>
  <c r="F11" i="4"/>
  <c r="N11" i="4" s="1"/>
  <c r="L60" i="3"/>
  <c r="M60" i="3" s="1"/>
  <c r="N60" i="3" s="1"/>
  <c r="E33" i="4"/>
  <c r="M33" i="4" s="1"/>
  <c r="O29" i="3"/>
  <c r="P29" i="3" s="1"/>
  <c r="Q29" i="3" s="1"/>
  <c r="R29" i="3" s="1"/>
  <c r="S29" i="3" s="1"/>
  <c r="T29" i="3" s="1"/>
  <c r="G14" i="4" s="1"/>
  <c r="O14" i="4" s="1"/>
  <c r="F14" i="4"/>
  <c r="N14" i="4" s="1"/>
  <c r="F21" i="4"/>
  <c r="N21" i="4" s="1"/>
  <c r="O53" i="3"/>
  <c r="P53" i="3" s="1"/>
  <c r="Q53" i="3" s="1"/>
  <c r="R53" i="3" s="1"/>
  <c r="S53" i="3" s="1"/>
  <c r="T53" i="3" s="1"/>
  <c r="G21" i="4" s="1"/>
  <c r="O21" i="4" s="1"/>
  <c r="M66" i="2"/>
  <c r="N52" i="2"/>
  <c r="E32" i="4"/>
  <c r="M32" i="4" s="1"/>
  <c r="L59" i="3"/>
  <c r="M59" i="3" s="1"/>
  <c r="E26" i="4"/>
  <c r="M26" i="4" s="1"/>
  <c r="N52" i="3"/>
  <c r="Q69" i="3"/>
  <c r="E12" i="2"/>
  <c r="O3" i="2" s="1"/>
  <c r="D12" i="2"/>
  <c r="G12" i="2" s="1"/>
  <c r="I12" i="2" s="1"/>
  <c r="I69" i="3" l="1"/>
  <c r="E35" i="4"/>
  <c r="M35" i="4" s="1"/>
  <c r="K54" i="3"/>
  <c r="J68" i="3"/>
  <c r="F27" i="4"/>
  <c r="N27" i="4" s="1"/>
  <c r="O67" i="3"/>
  <c r="P67" i="3" s="1"/>
  <c r="Q67" i="3" s="1"/>
  <c r="R67" i="3" s="1"/>
  <c r="S67" i="3" s="1"/>
  <c r="T67" i="3" s="1"/>
  <c r="G27" i="4" s="1"/>
  <c r="O27" i="4" s="1"/>
  <c r="O61" i="3"/>
  <c r="P61" i="3" s="1"/>
  <c r="Q61" i="3" s="1"/>
  <c r="R61" i="3" s="1"/>
  <c r="S61" i="3" s="1"/>
  <c r="F34" i="4"/>
  <c r="N34" i="4" s="1"/>
  <c r="O60" i="3"/>
  <c r="P60" i="3" s="1"/>
  <c r="Q60" i="3" s="1"/>
  <c r="R60" i="3" s="1"/>
  <c r="S60" i="3" s="1"/>
  <c r="T60" i="3" s="1"/>
  <c r="G33" i="4" s="1"/>
  <c r="O33" i="4" s="1"/>
  <c r="F33" i="4"/>
  <c r="N33" i="4" s="1"/>
  <c r="O52" i="3"/>
  <c r="F20" i="4"/>
  <c r="N20" i="4" s="1"/>
  <c r="C21" i="4"/>
  <c r="K21" i="4" s="1"/>
  <c r="N66" i="2"/>
  <c r="C27" i="4" s="1"/>
  <c r="K27" i="4" s="1"/>
  <c r="N59" i="3"/>
  <c r="F2" i="2"/>
  <c r="F3" i="2"/>
  <c r="F14" i="2" s="1"/>
  <c r="H14" i="2" s="1"/>
  <c r="F8" i="2"/>
  <c r="H13" i="2" s="1"/>
  <c r="F5" i="2"/>
  <c r="F15" i="2" s="1"/>
  <c r="H15" i="2" s="1"/>
  <c r="F4" i="2"/>
  <c r="E10" i="2"/>
  <c r="E8" i="2"/>
  <c r="E6" i="2"/>
  <c r="E5" i="2"/>
  <c r="E15" i="2" s="1"/>
  <c r="O6" i="2" s="1"/>
  <c r="E4" i="2"/>
  <c r="E3" i="2"/>
  <c r="E14" i="2" s="1"/>
  <c r="O5" i="2" s="1"/>
  <c r="E2" i="2"/>
  <c r="E16" i="2" s="1"/>
  <c r="O7" i="2" s="1"/>
  <c r="D8" i="2"/>
  <c r="D5" i="2"/>
  <c r="D15" i="2" s="1"/>
  <c r="D4" i="2"/>
  <c r="D3" i="2"/>
  <c r="D2" i="2"/>
  <c r="K68" i="3" l="1"/>
  <c r="L54" i="3"/>
  <c r="O62" i="3"/>
  <c r="P62" i="3" s="1"/>
  <c r="Q62" i="3" s="1"/>
  <c r="R62" i="3" s="1"/>
  <c r="S62" i="3" s="1"/>
  <c r="G35" i="4" s="1"/>
  <c r="F35" i="4"/>
  <c r="N35" i="4" s="1"/>
  <c r="J69" i="3"/>
  <c r="O59" i="3"/>
  <c r="P59" i="3" s="1"/>
  <c r="Q59" i="3" s="1"/>
  <c r="R59" i="3" s="1"/>
  <c r="G32" i="4" s="1"/>
  <c r="F32" i="4"/>
  <c r="N32" i="4" s="1"/>
  <c r="O66" i="2"/>
  <c r="F26" i="4"/>
  <c r="D16" i="2"/>
  <c r="F16" i="2"/>
  <c r="H16" i="2" s="1"/>
  <c r="H31" i="2"/>
  <c r="H38" i="2"/>
  <c r="G13" i="2"/>
  <c r="I13" i="2" s="1"/>
  <c r="H34" i="2"/>
  <c r="H41" i="2"/>
  <c r="G16" i="2"/>
  <c r="I16" i="2" s="1"/>
  <c r="H32" i="2"/>
  <c r="H39" i="2"/>
  <c r="G14" i="2"/>
  <c r="I14" i="2" s="1"/>
  <c r="H33" i="2"/>
  <c r="H40" i="2"/>
  <c r="G15" i="2"/>
  <c r="I15" i="2" s="1"/>
  <c r="L69" i="3" l="1"/>
  <c r="K69" i="3"/>
  <c r="M54" i="3"/>
  <c r="L68" i="3"/>
  <c r="Q66" i="2"/>
  <c r="P66" i="2"/>
  <c r="H58" i="2"/>
  <c r="B14" i="4"/>
  <c r="J14" i="4" s="1"/>
  <c r="H51" i="2"/>
  <c r="B8" i="4"/>
  <c r="J8" i="4" s="1"/>
  <c r="I40" i="2"/>
  <c r="I33" i="2"/>
  <c r="I41" i="2"/>
  <c r="I34" i="2"/>
  <c r="I38" i="2"/>
  <c r="I39" i="2"/>
  <c r="I32" i="2"/>
  <c r="I31" i="2"/>
  <c r="M68" i="3" l="1"/>
  <c r="N54" i="3"/>
  <c r="H65" i="2"/>
  <c r="B20" i="4"/>
  <c r="J20" i="4" s="1"/>
  <c r="B32" i="4"/>
  <c r="J32" i="4" s="1"/>
  <c r="L58" i="2"/>
  <c r="M58" i="2" s="1"/>
  <c r="J31" i="2"/>
  <c r="J39" i="2"/>
  <c r="J32" i="2"/>
  <c r="J38" i="2"/>
  <c r="J34" i="2"/>
  <c r="J33" i="2"/>
  <c r="J40" i="2"/>
  <c r="F22" i="4" l="1"/>
  <c r="N22" i="4" s="1"/>
  <c r="O54" i="3"/>
  <c r="N68" i="3"/>
  <c r="F28" i="4" s="1"/>
  <c r="N28" i="4" s="1"/>
  <c r="N58" i="2"/>
  <c r="I65" i="2"/>
  <c r="J65" i="2" s="1"/>
  <c r="K65" i="2" s="1"/>
  <c r="L65" i="2" s="1"/>
  <c r="M65" i="2" s="1"/>
  <c r="K41" i="2"/>
  <c r="L41" i="2" s="1"/>
  <c r="M41" i="2" s="1"/>
  <c r="N41" i="2" s="1"/>
  <c r="O41" i="2" s="1"/>
  <c r="P41" i="2" s="1"/>
  <c r="Q41" i="2" s="1"/>
  <c r="R41" i="2" s="1"/>
  <c r="L34" i="2"/>
  <c r="M34" i="2" s="1"/>
  <c r="N34" i="2" s="1"/>
  <c r="K38" i="2"/>
  <c r="K32" i="2"/>
  <c r="K40" i="2"/>
  <c r="L40" i="2" s="1"/>
  <c r="M40" i="2" s="1"/>
  <c r="N40" i="2" s="1"/>
  <c r="O40" i="2" s="1"/>
  <c r="P40" i="2" s="1"/>
  <c r="Q40" i="2" s="1"/>
  <c r="R40" i="2" s="1"/>
  <c r="L60" i="2"/>
  <c r="M60" i="2" s="1"/>
  <c r="N60" i="2" s="1"/>
  <c r="K33" i="2"/>
  <c r="L33" i="2" s="1"/>
  <c r="M33" i="2" s="1"/>
  <c r="N33" i="2" s="1"/>
  <c r="O33" i="2" s="1"/>
  <c r="P33" i="2" s="1"/>
  <c r="Q33" i="2" s="1"/>
  <c r="R33" i="2" s="1"/>
  <c r="K39" i="2"/>
  <c r="L39" i="2" s="1"/>
  <c r="M39" i="2" s="1"/>
  <c r="N39" i="2" s="1"/>
  <c r="O39" i="2" s="1"/>
  <c r="L59" i="2"/>
  <c r="M59" i="2" s="1"/>
  <c r="N59" i="2" s="1"/>
  <c r="K31" i="2"/>
  <c r="L31" i="2" s="1"/>
  <c r="M31" i="2" s="1"/>
  <c r="L51" i="2"/>
  <c r="M51" i="2" s="1"/>
  <c r="P54" i="3" l="1"/>
  <c r="O68" i="3"/>
  <c r="O60" i="2"/>
  <c r="P60" i="2" s="1"/>
  <c r="C34" i="4"/>
  <c r="K34" i="4" s="1"/>
  <c r="O59" i="2"/>
  <c r="P59" i="2" s="1"/>
  <c r="Q59" i="2" s="1"/>
  <c r="C33" i="4"/>
  <c r="K33" i="4" s="1"/>
  <c r="O58" i="2"/>
  <c r="P58" i="2" s="1"/>
  <c r="Q58" i="2" s="1"/>
  <c r="R58" i="2" s="1"/>
  <c r="C32" i="4"/>
  <c r="K32" i="4" s="1"/>
  <c r="N51" i="2"/>
  <c r="N65" i="2"/>
  <c r="O65" i="2" s="1"/>
  <c r="P65" i="2" s="1"/>
  <c r="Q65" i="2" s="1"/>
  <c r="R65" i="2" s="1"/>
  <c r="S65" i="2" s="1"/>
  <c r="D26" i="4" s="1"/>
  <c r="N31" i="2"/>
  <c r="O31" i="2" s="1"/>
  <c r="P31" i="2" s="1"/>
  <c r="Q31" i="2" s="1"/>
  <c r="R31" i="2" s="1"/>
  <c r="S31" i="2" s="1"/>
  <c r="T31" i="2" s="1"/>
  <c r="D8" i="4" s="1"/>
  <c r="L8" i="4" s="1"/>
  <c r="L38" i="2"/>
  <c r="Q54" i="3" l="1"/>
  <c r="P68" i="3"/>
  <c r="C35" i="4"/>
  <c r="O51" i="2"/>
  <c r="P51" i="2" s="1"/>
  <c r="Q51" i="2" s="1"/>
  <c r="R51" i="2" s="1"/>
  <c r="S51" i="2" s="1"/>
  <c r="T51" i="2" s="1"/>
  <c r="D20" i="4" s="1"/>
  <c r="L20" i="4" s="1"/>
  <c r="C20" i="4"/>
  <c r="K20" i="4" s="1"/>
  <c r="M38" i="2"/>
  <c r="R54" i="3" l="1"/>
  <c r="Q68" i="3"/>
  <c r="N38" i="2"/>
  <c r="R68" i="3" l="1"/>
  <c r="S54" i="3"/>
  <c r="S68" i="3" s="1"/>
  <c r="O38" i="2"/>
  <c r="P38" i="2" l="1"/>
  <c r="Q38" i="2" l="1"/>
  <c r="R38" i="2" l="1"/>
  <c r="S58" i="2" s="1"/>
  <c r="T58" i="2" s="1"/>
  <c r="D32" i="4" s="1"/>
  <c r="L32" i="4" s="1"/>
  <c r="S38" i="2" l="1"/>
  <c r="T38" i="2" s="1"/>
  <c r="D14" i="4" s="1"/>
  <c r="L1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tc={D32C8CFE-8119-4D87-81A2-EA37AA57A7A2}</author>
    <author>tc={811EBE40-29A9-4DD8-A52A-48653A99C4EF}</author>
  </authors>
  <commentList>
    <comment ref="G13" authorId="0" shapeId="0" xr:uid="{D32C8CFE-8119-4D87-81A2-EA37AA57A7A2}">
      <text>
        <t>[Threaded comment]
Your version of Excel allows you to read this threaded comment; however, any edits to it will get removed if the file is opened in a newer version of Excel. Learn more: https://go.microsoft.com/fwlink/?linkid=870924
Comment:
    &gt;50% varust Sutlema karjääris</t>
      </text>
    </comment>
    <comment ref="F19" authorId="1" shapeId="0" xr:uid="{811EBE40-29A9-4DD8-A52A-48653A99C4EF}">
      <text>
        <t>[Threaded comment]
Your version of Excel allows you to read this threaded comment; however, any edits to it will get removed if the file is opened in a newer version of Excel. Learn more: https://go.microsoft.com/fwlink/?linkid=870924
Comment:
    P - põhi; L - lõuna; PL - põhi-lõuna vahel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tc={836EB319-DC06-4A61-8CE8-4A4A26575953}</author>
  </authors>
  <commentList>
    <comment ref="F20" authorId="0" shapeId="0" xr:uid="{836EB319-DC06-4A61-8CE8-4A4A2657595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RB - rail baltic; P - Pärnu linn, muu - Pärnu linn + muud piirkonnad </t>
      </text>
    </comment>
  </commentList>
</comments>
</file>

<file path=xl/sharedStrings.xml><?xml version="1.0" encoding="utf-8"?>
<sst xmlns="http://schemas.openxmlformats.org/spreadsheetml/2006/main" count="775" uniqueCount="152">
  <si>
    <t>Kruus</t>
  </si>
  <si>
    <t>Ehituskruus</t>
  </si>
  <si>
    <t>Liiv</t>
  </si>
  <si>
    <t>Ehitusliiv</t>
  </si>
  <si>
    <t>Paekivi</t>
  </si>
  <si>
    <t>MM Ehituslubjakivi</t>
  </si>
  <si>
    <t>MM Ehitusdolokivi</t>
  </si>
  <si>
    <t>Rapla maakond</t>
  </si>
  <si>
    <t>Kaevandatav jääkvaru, tuh m3</t>
  </si>
  <si>
    <t>5 aasta keskmine tarbimine, tuh m3</t>
  </si>
  <si>
    <t>KM Ehituslubjakivi</t>
  </si>
  <si>
    <t>Taotletav varu, tuh m3</t>
  </si>
  <si>
    <t>Täitedolokivi</t>
  </si>
  <si>
    <t>Keskmine vajadus, tuh m3/a</t>
  </si>
  <si>
    <t>Maavara</t>
  </si>
  <si>
    <t>Kaevandatav varu, tuh m3</t>
  </si>
  <si>
    <t>Varustuskindlus, a</t>
  </si>
  <si>
    <t>KM lubja- ja dolokivi</t>
  </si>
  <si>
    <t>MM lubja- ja dolokivi</t>
  </si>
  <si>
    <t>Tellija</t>
  </si>
  <si>
    <t>Kokku</t>
  </si>
  <si>
    <t>Rail Baltic</t>
  </si>
  <si>
    <t>Täitematerjal</t>
  </si>
  <si>
    <t>KM Ehitusdolokivi</t>
  </si>
  <si>
    <t>Pihali</t>
  </si>
  <si>
    <t>Härgla</t>
  </si>
  <si>
    <t>TRAM, RMK, KOVid, tööstus</t>
  </si>
  <si>
    <t>Reinu II</t>
  </si>
  <si>
    <t>Kõrgemargiline paekivi, taotletavad</t>
  </si>
  <si>
    <t>mäeeraldis</t>
  </si>
  <si>
    <t>arendaja</t>
  </si>
  <si>
    <t>EMG Karjäärid OÜ</t>
  </si>
  <si>
    <t>Eesti Killustik OÜ</t>
  </si>
  <si>
    <t>Klarnes Invest OÜ</t>
  </si>
  <si>
    <t>Madalamargiline paekivi, aktiivne</t>
  </si>
  <si>
    <t>Orgita</t>
  </si>
  <si>
    <t>Orgita II</t>
  </si>
  <si>
    <t>Orgita-III</t>
  </si>
  <si>
    <t>Lubja</t>
  </si>
  <si>
    <t>Sutlema I</t>
  </si>
  <si>
    <t>Orgita V</t>
  </si>
  <si>
    <t>Sutlema III</t>
  </si>
  <si>
    <t>Reinu III</t>
  </si>
  <si>
    <t>Reinu</t>
  </si>
  <si>
    <t>Orava III</t>
  </si>
  <si>
    <t>Orava</t>
  </si>
  <si>
    <t>OÜ Orgita Dolomiiditooted</t>
  </si>
  <si>
    <t>Limestone OÜ</t>
  </si>
  <si>
    <t>Gildemann OÜ</t>
  </si>
  <si>
    <t>AS Kiirkandur</t>
  </si>
  <si>
    <t>Limestone factories of Estonia OÜ</t>
  </si>
  <si>
    <t>AS TREV-2 Grupp</t>
  </si>
  <si>
    <t>OÜ Merko Kaevandused</t>
  </si>
  <si>
    <t>Sutlema II</t>
  </si>
  <si>
    <t>kaevandatav varu, tuh m3</t>
  </si>
  <si>
    <t>Madalamargiline paekivi, taotletav</t>
  </si>
  <si>
    <t>Orava V</t>
  </si>
  <si>
    <t>Orava IV</t>
  </si>
  <si>
    <t>OÜ Aigren</t>
  </si>
  <si>
    <t>OÜ Laaseri Puit</t>
  </si>
  <si>
    <t>Alesti III</t>
  </si>
  <si>
    <t>Speedline Baltic OÜ / Tariston AS</t>
  </si>
  <si>
    <t>märkus</t>
  </si>
  <si>
    <t>ei ole kindlalt teada</t>
  </si>
  <si>
    <t>potentsiaalne</t>
  </si>
  <si>
    <t>osakaal</t>
  </si>
  <si>
    <t>-</t>
  </si>
  <si>
    <t>Orgita IV</t>
  </si>
  <si>
    <t>ol ol varustuskindlus, a</t>
  </si>
  <si>
    <t>taotletava varustuskindlus, a</t>
  </si>
  <si>
    <t>MM PK</t>
  </si>
  <si>
    <t>Täitepaekivi, taotletav</t>
  </si>
  <si>
    <t>Täitepaekivi, aktiivne</t>
  </si>
  <si>
    <t>P</t>
  </si>
  <si>
    <t>PL</t>
  </si>
  <si>
    <t>Raplamaa täitematerjali vajaduse prognoos, tuh m3 (KLIM)</t>
  </si>
  <si>
    <t>Ehitusmaavarade varustuskindluse tagatuse ülevaade Rapla maakonnas (KLIM)</t>
  </si>
  <si>
    <t>Pärnu maakond</t>
  </si>
  <si>
    <t>Valistre</t>
  </si>
  <si>
    <t>Kurevere</t>
  </si>
  <si>
    <t>Kurevere II</t>
  </si>
  <si>
    <t>Nordkalk AS</t>
  </si>
  <si>
    <t>Tarva</t>
  </si>
  <si>
    <t>Kivikandur OÜ</t>
  </si>
  <si>
    <t>Anelema</t>
  </si>
  <si>
    <t>Anelema II</t>
  </si>
  <si>
    <t>OÜ Forek</t>
  </si>
  <si>
    <t>Koonga II</t>
  </si>
  <si>
    <t>Kobra</t>
  </si>
  <si>
    <t>Tarva III</t>
  </si>
  <si>
    <t>Raho OÜ</t>
  </si>
  <si>
    <t>Tarva V</t>
  </si>
  <si>
    <t>SKP Invest OÜ</t>
  </si>
  <si>
    <t>Ehitusmaavarade varustuskindluse tagatuse ülevaade Pärnu maakonnas (KLIM)</t>
  </si>
  <si>
    <t>Pärnumaa täitematerjali vajaduse prognoos, tuh m3 (KLIM)</t>
  </si>
  <si>
    <t>RB lõik ja hinnangulised mahud, mida teenindavad eeldatavalt Rapla maakonnas asuvad ehitusmaterjalide karjäärid</t>
  </si>
  <si>
    <t>Rail Baltic Hagudi-Selja</t>
  </si>
  <si>
    <t>RB lõik ja hinnangulised mahud, mida teenindavad eeldatavalt Pärnu maakonnas asuvad ehitusmaterjalide karjäärid</t>
  </si>
  <si>
    <t>Rail Baltic Selja-Ikla</t>
  </si>
  <si>
    <t>maavara</t>
  </si>
  <si>
    <t>Pärnu linna teenindavad karjäärid</t>
  </si>
  <si>
    <t>täitedolokivi</t>
  </si>
  <si>
    <t>Potsepa</t>
  </si>
  <si>
    <t>ehitusliiv</t>
  </si>
  <si>
    <t xml:space="preserve">Ei </t>
  </si>
  <si>
    <t>jääkvarude prognoos tegelik</t>
  </si>
  <si>
    <t>Sutlema</t>
  </si>
  <si>
    <t>varustuskindlus, a</t>
  </si>
  <si>
    <t>piisav keskmine vk</t>
  </si>
  <si>
    <t>piisav tegelik vk</t>
  </si>
  <si>
    <t>jääkvarude prognoos ilma Sutlemata</t>
  </si>
  <si>
    <t>Madalamargiline paekivi</t>
  </si>
  <si>
    <t>KLIM keskmine</t>
  </si>
  <si>
    <t>KLIM keskmine + taotletav</t>
  </si>
  <si>
    <t>tegelik</t>
  </si>
  <si>
    <t>tegelik, ilma Sutlemata</t>
  </si>
  <si>
    <t>tegelik + taotletav</t>
  </si>
  <si>
    <t>Raplamaa suuremate paekivi varude ja väiksemate tootmismahtudega karjäärid</t>
  </si>
  <si>
    <t>tegelik, ilma Anelema ja Potsepata</t>
  </si>
  <si>
    <t>ilma Anelema ja Potsepata</t>
  </si>
  <si>
    <t>5a kesk</t>
  </si>
  <si>
    <t>kuni 2030</t>
  </si>
  <si>
    <t>KM</t>
  </si>
  <si>
    <t>MM</t>
  </si>
  <si>
    <t>EL</t>
  </si>
  <si>
    <t>EK</t>
  </si>
  <si>
    <t>TM</t>
  </si>
  <si>
    <t>R</t>
  </si>
  <si>
    <t>Sutlema ja Reinu karjääride andmed (abi)</t>
  </si>
  <si>
    <t>jääkvarude prognoos KLIM keskmine</t>
  </si>
  <si>
    <t>(abi)</t>
  </si>
  <si>
    <t>regioon</t>
  </si>
  <si>
    <t>RB</t>
  </si>
  <si>
    <t>muu</t>
  </si>
  <si>
    <t>jääkvarude prognoos KLIM keskmine + taotletav</t>
  </si>
  <si>
    <t>jääkvarude prognoos tegelik + taotletav</t>
  </si>
  <si>
    <t>jääkvarude prognoos KLIM keskmine taotletav</t>
  </si>
  <si>
    <t>Rapla maakonna jääkvarude prognoos, tuh m3</t>
  </si>
  <si>
    <t>Pärnu maakonna jääkvarude prognoos, tuh m3</t>
  </si>
  <si>
    <t>kõrgemargiline paekivi</t>
  </si>
  <si>
    <t>madalamargiline paekivi</t>
  </si>
  <si>
    <t>ehituskruus</t>
  </si>
  <si>
    <t>täitematerjal</t>
  </si>
  <si>
    <t>täitematerjal + ehitusliiv + ehituskruus</t>
  </si>
  <si>
    <t>täiteliiv</t>
  </si>
  <si>
    <t>täitekruus</t>
  </si>
  <si>
    <t>täitelubjakivi</t>
  </si>
  <si>
    <t>Rapla maakonna varustuskindluse prognoos, aastates</t>
  </si>
  <si>
    <t xml:space="preserve">Pärnu maakonna varustuskindluse prognoos, aastates </t>
  </si>
  <si>
    <t>Varustuskindlus jääkvaru kogustes 2025-2050</t>
  </si>
  <si>
    <t>Varustuskindlus aastates perioodil 2025-2050</t>
  </si>
  <si>
    <t>Varustuskindlus alla 15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</si>
</sst>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charset val="186"/>
      <scheme val="minor"/>
    </font>
    <font>
      <b/>
      <u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000000"/>
      <name val="Aptos Narrow"/>
      <family val="2"/>
      <charset val="186"/>
    </font>
    <font>
      <i/>
      <sz val="11"/>
      <name val="Calibri"/>
      <family val="2"/>
      <scheme val="minor"/>
    </font>
    <font>
      <sz val="11"/>
      <color rgb="FFFF0000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i/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i/>
      <sz val="11"/>
      <color rgb="FFFF0000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u/>
      <sz val="14"/>
      <color theme="1"/>
      <name val="Calibri"/>
      <family val="2"/>
      <charset val="186"/>
      <scheme val="minor"/>
    </font>
    <font>
      <b/>
      <u/>
      <sz val="14"/>
      <color rgb="FF000000"/>
      <name val="Calibri"/>
      <family val="2"/>
      <charset val="186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i/>
      <sz val="14"/>
      <color theme="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8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9" fontId="9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1" fontId="0" fillId="0" borderId="0" xfId="0" applyNumberFormat="1" applyAlignment="1">
      <alignment horizontal="left" vertical="center"/>
    </xf>
    <xf numFmtId="1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1" fontId="11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horizontal="left" vertical="center"/>
    </xf>
    <xf numFmtId="1" fontId="4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" fontId="14" fillId="0" borderId="0" xfId="0" applyNumberFormat="1" applyFont="1" applyAlignment="1">
      <alignment horizontal="left" vertical="center"/>
    </xf>
    <xf numFmtId="16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9" fontId="0" fillId="0" borderId="1" xfId="0" applyNumberForma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11" fillId="4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/>
    </xf>
    <xf numFmtId="3" fontId="9" fillId="0" borderId="0" xfId="0" applyNumberFormat="1" applyFont="1" applyAlignment="1">
      <alignment vertical="center"/>
    </xf>
    <xf numFmtId="164" fontId="18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" fontId="9" fillId="0" borderId="0" xfId="0" applyNumberFormat="1" applyFont="1" applyAlignment="1">
      <alignment vertical="center"/>
    </xf>
    <xf numFmtId="0" fontId="0" fillId="0" borderId="13" xfId="0" applyBorder="1" applyAlignment="1">
      <alignment horizontal="center" vertical="center"/>
    </xf>
    <xf numFmtId="164" fontId="11" fillId="4" borderId="1" xfId="0" applyNumberFormat="1" applyFon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11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" fontId="11" fillId="4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164" fontId="9" fillId="5" borderId="1" xfId="0" applyNumberFormat="1" applyFont="1" applyFill="1" applyBorder="1" applyAlignment="1">
      <alignment horizontal="center" vertical="center"/>
    </xf>
    <xf numFmtId="9" fontId="9" fillId="5" borderId="1" xfId="0" applyNumberFormat="1" applyFont="1" applyFill="1" applyBorder="1" applyAlignment="1">
      <alignment horizontal="center"/>
    </xf>
    <xf numFmtId="1" fontId="9" fillId="5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9" fontId="2" fillId="5" borderId="1" xfId="0" applyNumberFormat="1" applyFont="1" applyFill="1" applyBorder="1" applyAlignment="1">
      <alignment horizontal="center"/>
    </xf>
    <xf numFmtId="1" fontId="2" fillId="5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9" fontId="2" fillId="6" borderId="1" xfId="0" applyNumberFormat="1" applyFont="1" applyFill="1" applyBorder="1" applyAlignment="1">
      <alignment horizontal="center"/>
    </xf>
    <xf numFmtId="1" fontId="2" fillId="6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/>
    <xf numFmtId="0" fontId="2" fillId="5" borderId="1" xfId="0" applyFont="1" applyFill="1" applyBorder="1"/>
    <xf numFmtId="165" fontId="2" fillId="6" borderId="1" xfId="0" applyNumberFormat="1" applyFont="1" applyFill="1" applyBorder="1" applyAlignment="1">
      <alignment horizontal="center" vertical="center"/>
    </xf>
    <xf numFmtId="9" fontId="2" fillId="6" borderId="1" xfId="0" applyNumberFormat="1" applyFont="1" applyFill="1" applyBorder="1" applyAlignment="1">
      <alignment horizontal="center" vertical="center"/>
    </xf>
    <xf numFmtId="164" fontId="11" fillId="4" borderId="10" xfId="0" applyNumberFormat="1" applyFont="1" applyFill="1" applyBorder="1" applyAlignment="1">
      <alignment horizontal="center" vertical="center"/>
    </xf>
    <xf numFmtId="164" fontId="11" fillId="3" borderId="10" xfId="0" applyNumberFormat="1" applyFont="1" applyFill="1" applyBorder="1" applyAlignment="1">
      <alignment horizontal="center" vertical="center"/>
    </xf>
    <xf numFmtId="164" fontId="11" fillId="4" borderId="10" xfId="0" applyNumberFormat="1" applyFont="1" applyFill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11" fillId="4" borderId="12" xfId="0" applyNumberFormat="1" applyFont="1" applyFill="1" applyBorder="1" applyAlignment="1">
      <alignment horizontal="center"/>
    </xf>
    <xf numFmtId="164" fontId="0" fillId="4" borderId="12" xfId="0" applyNumberFormat="1" applyFill="1" applyBorder="1" applyAlignment="1">
      <alignment horizontal="center"/>
    </xf>
    <xf numFmtId="164" fontId="11" fillId="3" borderId="12" xfId="0" applyNumberFormat="1" applyFont="1" applyFill="1" applyBorder="1" applyAlignment="1">
      <alignment horizontal="center" vertical="center"/>
    </xf>
    <xf numFmtId="164" fontId="15" fillId="4" borderId="12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left" vertical="center"/>
    </xf>
    <xf numFmtId="1" fontId="11" fillId="4" borderId="10" xfId="0" applyNumberFormat="1" applyFont="1" applyFill="1" applyBorder="1" applyAlignment="1">
      <alignment horizontal="center" vertical="center"/>
    </xf>
    <xf numFmtId="1" fontId="11" fillId="4" borderId="12" xfId="0" applyNumberFormat="1" applyFon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1" fontId="11" fillId="4" borderId="1" xfId="0" applyNumberFormat="1" applyFont="1" applyFill="1" applyBorder="1" applyAlignment="1">
      <alignment horizontal="center"/>
    </xf>
    <xf numFmtId="1" fontId="11" fillId="4" borderId="10" xfId="0" applyNumberFormat="1" applyFont="1" applyFill="1" applyBorder="1" applyAlignment="1">
      <alignment horizontal="center"/>
    </xf>
    <xf numFmtId="1" fontId="15" fillId="4" borderId="12" xfId="0" applyNumberFormat="1" applyFont="1" applyFill="1" applyBorder="1" applyAlignment="1">
      <alignment horizontal="center"/>
    </xf>
    <xf numFmtId="1" fontId="0" fillId="4" borderId="12" xfId="0" applyNumberFormat="1" applyFill="1" applyBorder="1" applyAlignment="1">
      <alignment horizontal="center"/>
    </xf>
    <xf numFmtId="3" fontId="11" fillId="3" borderId="1" xfId="0" applyNumberFormat="1" applyFont="1" applyFill="1" applyBorder="1" applyAlignment="1">
      <alignment horizontal="center" vertical="center"/>
    </xf>
    <xf numFmtId="3" fontId="11" fillId="3" borderId="10" xfId="0" applyNumberFormat="1" applyFont="1" applyFill="1" applyBorder="1" applyAlignment="1">
      <alignment horizontal="center" vertical="center"/>
    </xf>
    <xf numFmtId="3" fontId="11" fillId="3" borderId="12" xfId="0" applyNumberFormat="1" applyFont="1" applyFill="1" applyBorder="1" applyAlignment="1">
      <alignment horizontal="center" vertical="center"/>
    </xf>
    <xf numFmtId="1" fontId="11" fillId="3" borderId="12" xfId="0" applyNumberFormat="1" applyFont="1" applyFill="1" applyBorder="1" applyAlignment="1">
      <alignment horizontal="center" vertical="center"/>
    </xf>
    <xf numFmtId="1" fontId="11" fillId="3" borderId="1" xfId="0" applyNumberFormat="1" applyFon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7" fillId="3" borderId="12" xfId="0" applyNumberFormat="1" applyFont="1" applyFill="1" applyBorder="1" applyAlignment="1">
      <alignment horizontal="center" vertical="center"/>
    </xf>
    <xf numFmtId="164" fontId="19" fillId="4" borderId="12" xfId="0" applyNumberFormat="1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1" fontId="7" fillId="4" borderId="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64" fontId="20" fillId="4" borderId="12" xfId="0" applyNumberFormat="1" applyFont="1" applyFill="1" applyBorder="1" applyAlignment="1">
      <alignment horizontal="center" vertical="center"/>
    </xf>
    <xf numFmtId="164" fontId="18" fillId="3" borderId="1" xfId="0" applyNumberFormat="1" applyFont="1" applyFill="1" applyBorder="1" applyAlignment="1">
      <alignment horizontal="center" vertical="center"/>
    </xf>
    <xf numFmtId="164" fontId="18" fillId="4" borderId="1" xfId="0" applyNumberFormat="1" applyFont="1" applyFill="1" applyBorder="1" applyAlignment="1">
      <alignment horizontal="center" vertical="center"/>
    </xf>
    <xf numFmtId="164" fontId="18" fillId="4" borderId="12" xfId="0" applyNumberFormat="1" applyFont="1" applyFill="1" applyBorder="1" applyAlignment="1">
      <alignment horizontal="center" vertical="center"/>
    </xf>
    <xf numFmtId="164" fontId="20" fillId="4" borderId="1" xfId="0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3" fontId="8" fillId="0" borderId="6" xfId="0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4" fontId="11" fillId="0" borderId="9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164" fontId="7" fillId="0" borderId="8" xfId="0" applyNumberFormat="1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1" fontId="16" fillId="0" borderId="5" xfId="0" applyNumberFormat="1" applyFont="1" applyBorder="1" applyAlignment="1">
      <alignment horizontal="center" vertical="center"/>
    </xf>
    <xf numFmtId="164" fontId="18" fillId="0" borderId="6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164" fontId="18" fillId="0" borderId="8" xfId="0" applyNumberFormat="1" applyFont="1" applyBorder="1" applyAlignment="1">
      <alignment horizontal="center" vertical="center"/>
    </xf>
    <xf numFmtId="164" fontId="18" fillId="0" borderId="9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9" fontId="9" fillId="0" borderId="6" xfId="0" applyNumberFormat="1" applyFont="1" applyBorder="1" applyAlignment="1">
      <alignment horizontal="center" vertical="center"/>
    </xf>
    <xf numFmtId="9" fontId="9" fillId="0" borderId="9" xfId="0" applyNumberFormat="1" applyFont="1" applyBorder="1" applyAlignment="1">
      <alignment horizontal="center" vertical="center"/>
    </xf>
    <xf numFmtId="9" fontId="16" fillId="0" borderId="6" xfId="0" applyNumberFormat="1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165" fontId="9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" fontId="0" fillId="0" borderId="6" xfId="0" applyNumberForma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1" fontId="17" fillId="0" borderId="6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9" fontId="4" fillId="0" borderId="8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164" fontId="21" fillId="0" borderId="8" xfId="0" applyNumberFormat="1" applyFont="1" applyBorder="1" applyAlignment="1">
      <alignment horizontal="center" vertical="center"/>
    </xf>
    <xf numFmtId="3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9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9" fontId="1" fillId="0" borderId="9" xfId="0" applyNumberFormat="1" applyFont="1" applyBorder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1" fontId="20" fillId="4" borderId="12" xfId="0" applyNumberFormat="1" applyFont="1" applyFill="1" applyBorder="1" applyAlignment="1">
      <alignment horizontal="center" vertical="center"/>
    </xf>
    <xf numFmtId="1" fontId="18" fillId="3" borderId="1" xfId="0" applyNumberFormat="1" applyFont="1" applyFill="1" applyBorder="1" applyAlignment="1">
      <alignment horizontal="center" vertical="center"/>
    </xf>
    <xf numFmtId="1" fontId="18" fillId="4" borderId="1" xfId="0" applyNumberFormat="1" applyFont="1" applyFill="1" applyBorder="1" applyAlignment="1">
      <alignment horizontal="center"/>
    </xf>
    <xf numFmtId="1" fontId="20" fillId="4" borderId="1" xfId="0" applyNumberFormat="1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1" fontId="18" fillId="4" borderId="10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64" fontId="16" fillId="0" borderId="15" xfId="0" applyNumberFormat="1" applyFont="1" applyBorder="1" applyAlignment="1">
      <alignment horizontal="center" vertical="center"/>
    </xf>
    <xf numFmtId="164" fontId="16" fillId="0" borderId="14" xfId="0" applyNumberFormat="1" applyFont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9" fontId="2" fillId="5" borderId="1" xfId="0" applyNumberFormat="1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left" vertical="center"/>
    </xf>
    <xf numFmtId="0" fontId="4" fillId="5" borderId="15" xfId="0" applyFont="1" applyFill="1" applyBorder="1" applyAlignment="1">
      <alignment horizontal="left" vertical="center"/>
    </xf>
    <xf numFmtId="0" fontId="4" fillId="5" borderId="14" xfId="0" applyFont="1" applyFill="1" applyBorder="1" applyAlignment="1">
      <alignment horizontal="left" vertical="center"/>
    </xf>
    <xf numFmtId="0" fontId="4" fillId="6" borderId="13" xfId="0" applyFont="1" applyFill="1" applyBorder="1" applyAlignment="1">
      <alignment horizontal="left" vertical="center"/>
    </xf>
    <xf numFmtId="0" fontId="4" fillId="6" borderId="15" xfId="0" applyFont="1" applyFill="1" applyBorder="1" applyAlignment="1">
      <alignment horizontal="left" vertical="center"/>
    </xf>
    <xf numFmtId="0" fontId="4" fillId="6" borderId="14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2" fillId="0" borderId="2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2" fillId="0" borderId="18" xfId="0" applyFont="1" applyBorder="1" applyAlignment="1">
      <alignment horizontal="left" vertical="center"/>
    </xf>
    <xf numFmtId="0" fontId="22" fillId="0" borderId="19" xfId="0" applyFont="1" applyBorder="1" applyAlignment="1">
      <alignment horizontal="left" vertical="center"/>
    </xf>
    <xf numFmtId="0" fontId="22" fillId="0" borderId="20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5" fillId="0" borderId="2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7" fillId="0" borderId="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8" fillId="0" borderId="2" xfId="0" applyFont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28" fillId="0" borderId="4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Hendrik Klaas" id="{36A8C0AB-4131-4046-8087-97B7A85FA1A5}" userId="S::Hendrik@steiger.ee::e1c75af9-eeec-48e7-b723-5357e1e8221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3" dT="2025-03-10T13:05:16.93" personId="{36A8C0AB-4131-4046-8087-97B7A85FA1A5}" id="{D32C8CFE-8119-4D87-81A2-EA37AA57A7A2}">
    <text>&gt;50% varust Sutlema karjääris</text>
  </threadedComment>
  <threadedComment ref="F19" dT="2025-03-13T08:59:36.62" personId="{36A8C0AB-4131-4046-8087-97B7A85FA1A5}" id="{811EBE40-29A9-4DD8-A52A-48653A99C4EF}">
    <text>P - põhi; L - lõuna; PL - põhi-lõuna vahel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F20" dT="2025-03-13T09:03:09.17" personId="{36A8C0AB-4131-4046-8087-97B7A85FA1A5}" id="{836EB319-DC06-4A61-8CE8-4A4A26575953}">
    <text xml:space="preserve">RB - rail baltic; P - Pärnu linn, muu - Pärnu linn + muud piirkonnad 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78A5F-CE7A-4845-98F4-453EAC1C7F26}">
  <dimension ref="A2:V39"/>
  <sheetViews>
    <sheetView tabSelected="1" zoomScale="85" zoomScaleNormal="85" workbookViewId="0">
      <selection activeCell="G39" sqref="G39"/>
    </sheetView>
  </sheetViews>
  <sheetFormatPr defaultRowHeight="15" x14ac:dyDescent="0.25"/>
  <cols>
    <col min="1" max="1" width="23.28515625" style="2" bestFit="1" customWidth="1"/>
    <col min="2" max="3" width="14.140625" style="52" customWidth="1"/>
    <col min="4" max="4" width="14.7109375" style="52" customWidth="1"/>
    <col min="5" max="6" width="14.140625" customWidth="1"/>
    <col min="7" max="7" width="15.5703125" customWidth="1"/>
    <col min="9" max="9" width="23.28515625" bestFit="1" customWidth="1"/>
    <col min="10" max="15" width="16.5703125" customWidth="1"/>
    <col min="16" max="16" width="10.42578125" customWidth="1"/>
    <col min="17" max="17" width="24.85546875" bestFit="1" customWidth="1"/>
    <col min="18" max="18" width="24" bestFit="1" customWidth="1"/>
    <col min="19" max="19" width="7.7109375" bestFit="1" customWidth="1"/>
    <col min="20" max="20" width="33" bestFit="1" customWidth="1"/>
    <col min="21" max="21" width="7.7109375" bestFit="1" customWidth="1"/>
    <col min="22" max="22" width="17" bestFit="1" customWidth="1"/>
  </cols>
  <sheetData>
    <row r="2" spans="1:22" x14ac:dyDescent="0.25">
      <c r="A2" s="278" t="s">
        <v>149</v>
      </c>
      <c r="B2" s="278"/>
      <c r="C2" s="278"/>
      <c r="D2" s="278"/>
      <c r="E2" s="278"/>
      <c r="F2" s="278"/>
      <c r="G2" s="278"/>
      <c r="I2" s="279" t="s">
        <v>150</v>
      </c>
      <c r="J2" s="279"/>
      <c r="K2" s="279"/>
      <c r="L2" s="279"/>
      <c r="M2" s="279"/>
      <c r="N2" s="279"/>
      <c r="O2" s="279"/>
    </row>
    <row r="4" spans="1:22" x14ac:dyDescent="0.25">
      <c r="A4" s="90"/>
      <c r="B4" s="210" t="s">
        <v>137</v>
      </c>
      <c r="C4" s="211"/>
      <c r="D4" s="211"/>
      <c r="E4" s="212" t="s">
        <v>138</v>
      </c>
      <c r="F4" s="212"/>
      <c r="G4" s="212"/>
      <c r="I4" s="90"/>
      <c r="J4" s="210" t="s">
        <v>147</v>
      </c>
      <c r="K4" s="211"/>
      <c r="L4" s="211"/>
      <c r="M4" s="212" t="s">
        <v>148</v>
      </c>
      <c r="N4" s="212"/>
      <c r="O4" s="212"/>
    </row>
    <row r="5" spans="1:22" x14ac:dyDescent="0.25">
      <c r="A5" s="58"/>
      <c r="B5" s="89">
        <v>2025</v>
      </c>
      <c r="C5" s="7">
        <v>2031</v>
      </c>
      <c r="D5" s="7">
        <v>2050</v>
      </c>
      <c r="E5" s="7">
        <v>2025</v>
      </c>
      <c r="F5" s="7">
        <v>2031</v>
      </c>
      <c r="G5" s="7">
        <v>2050</v>
      </c>
      <c r="H5" s="5"/>
      <c r="I5" s="58"/>
      <c r="J5" s="89">
        <v>2025</v>
      </c>
      <c r="K5" s="7">
        <v>2031</v>
      </c>
      <c r="L5" s="7">
        <v>2050</v>
      </c>
      <c r="M5" s="7">
        <v>2025</v>
      </c>
      <c r="N5" s="7">
        <v>2031</v>
      </c>
      <c r="O5" s="7">
        <v>2050</v>
      </c>
      <c r="Q5" s="213" t="s">
        <v>117</v>
      </c>
      <c r="R5" s="213"/>
      <c r="S5" s="213"/>
      <c r="T5" s="213"/>
      <c r="U5" s="213"/>
      <c r="V5" s="213"/>
    </row>
    <row r="6" spans="1:22" x14ac:dyDescent="0.25">
      <c r="A6" s="88"/>
      <c r="B6" s="217" t="s">
        <v>112</v>
      </c>
      <c r="C6" s="218"/>
      <c r="D6" s="218"/>
      <c r="E6" s="218"/>
      <c r="F6" s="218"/>
      <c r="G6" s="218"/>
      <c r="I6" s="88"/>
      <c r="J6" s="217" t="s">
        <v>112</v>
      </c>
      <c r="K6" s="218"/>
      <c r="L6" s="218"/>
      <c r="M6" s="218"/>
      <c r="N6" s="218"/>
      <c r="O6" s="218"/>
      <c r="Q6" s="71"/>
      <c r="R6" s="7" t="str">
        <f>'Rapla mk'!H19</f>
        <v>kaevandatav varu, tuh m3</v>
      </c>
      <c r="S6" s="46" t="s">
        <v>65</v>
      </c>
      <c r="T6" s="7" t="str">
        <f>'Rapla mk'!I19</f>
        <v>5 aasta keskmine tarbimine, tuh m3</v>
      </c>
      <c r="U6" s="46" t="s">
        <v>65</v>
      </c>
      <c r="V6" s="7" t="str">
        <f>'Rapla mk'!K19</f>
        <v>varustuskindlus, a</v>
      </c>
    </row>
    <row r="7" spans="1:22" x14ac:dyDescent="0.25">
      <c r="A7" s="7" t="s">
        <v>139</v>
      </c>
      <c r="B7" s="50" t="str">
        <f>'Rapla mk'!H30</f>
        <v>-</v>
      </c>
      <c r="C7" s="50" t="str">
        <f>'Rapla mk'!N30</f>
        <v>-</v>
      </c>
      <c r="D7" s="50" t="str">
        <f>'Rapla mk'!T30</f>
        <v>-</v>
      </c>
      <c r="E7" s="63" t="str">
        <f>'Pärnu mk'!H21</f>
        <v>-</v>
      </c>
      <c r="F7" s="63" t="str">
        <f>'Pärnu mk'!N21</f>
        <v>-</v>
      </c>
      <c r="G7" s="63" t="str">
        <f>'Pärnu mk'!T21</f>
        <v>-</v>
      </c>
      <c r="I7" s="7" t="s">
        <v>139</v>
      </c>
      <c r="J7" s="66" t="s">
        <v>66</v>
      </c>
      <c r="K7" s="66" t="s">
        <v>66</v>
      </c>
      <c r="L7" s="66" t="s">
        <v>66</v>
      </c>
      <c r="M7" s="103" t="s">
        <v>66</v>
      </c>
      <c r="N7" s="103" t="s">
        <v>66</v>
      </c>
      <c r="O7" s="103" t="s">
        <v>66</v>
      </c>
      <c r="Q7" s="214" t="str">
        <f>'Rapla mk'!G19</f>
        <v>Sutlema</v>
      </c>
      <c r="R7" s="214"/>
      <c r="S7" s="214"/>
      <c r="T7" s="214"/>
      <c r="U7" s="214"/>
      <c r="V7" s="214"/>
    </row>
    <row r="8" spans="1:22" x14ac:dyDescent="0.25">
      <c r="A8" s="7" t="s">
        <v>140</v>
      </c>
      <c r="B8" s="49">
        <f>'Rapla mk'!H31</f>
        <v>9996.7230600000003</v>
      </c>
      <c r="C8" s="115">
        <f>'Rapla mk'!N31</f>
        <v>9096.7230600000003</v>
      </c>
      <c r="D8" s="49">
        <f>'Rapla mk'!T31</f>
        <v>6246.7230600000003</v>
      </c>
      <c r="E8" s="111">
        <f>'Pärnu mk'!H22</f>
        <v>4376.8180000000002</v>
      </c>
      <c r="F8" s="111">
        <f>'Pärnu mk'!N22</f>
        <v>3176.8180000000002</v>
      </c>
      <c r="G8" s="63" t="str">
        <f>'Pärnu mk'!T22</f>
        <v>-</v>
      </c>
      <c r="I8" s="7" t="s">
        <v>140</v>
      </c>
      <c r="J8" s="65">
        <f>B8/'Rapla mk'!K4</f>
        <v>66.6448204</v>
      </c>
      <c r="K8" s="65">
        <f>C8/'Rapla mk'!K4</f>
        <v>60.6448204</v>
      </c>
      <c r="L8" s="65">
        <f>D8/'Rapla mk'!K4</f>
        <v>41.6448204</v>
      </c>
      <c r="M8" s="114">
        <f>E8/'Pärnu mk'!K4</f>
        <v>21.88409</v>
      </c>
      <c r="N8" s="114">
        <f>F8/'Pärnu mk'!K4</f>
        <v>15.88409</v>
      </c>
      <c r="O8" s="103" t="s">
        <v>66</v>
      </c>
      <c r="Q8" s="72" t="s">
        <v>111</v>
      </c>
      <c r="R8" s="73">
        <f>'Rapla mk'!H20</f>
        <v>5571.268</v>
      </c>
      <c r="S8" s="74">
        <f>'Rapla mk'!H20/'Rapla mk'!D13</f>
        <v>0.55730942695535668</v>
      </c>
      <c r="T8" s="73">
        <f>'Rapla mk'!I20</f>
        <v>43.374600000000001</v>
      </c>
      <c r="U8" s="74">
        <f>43.3/'Rapla mk'!E13</f>
        <v>0.20249162909893562</v>
      </c>
      <c r="V8" s="75">
        <f>'Rapla mk'!K20</f>
        <v>128.44540353109883</v>
      </c>
    </row>
    <row r="9" spans="1:22" x14ac:dyDescent="0.25">
      <c r="A9" s="7" t="s">
        <v>103</v>
      </c>
      <c r="B9" s="50">
        <f>'Rapla mk'!H32</f>
        <v>986.548</v>
      </c>
      <c r="C9" s="50" t="str">
        <f>'Rapla mk'!N32</f>
        <v>-</v>
      </c>
      <c r="D9" s="50" t="str">
        <f>'Rapla mk'!T32</f>
        <v>-</v>
      </c>
      <c r="E9" s="111">
        <f>'Pärnu mk'!H23</f>
        <v>10340.718999999999</v>
      </c>
      <c r="F9" s="111">
        <f>'Pärnu mk'!N23</f>
        <v>8240.7189999999991</v>
      </c>
      <c r="G9" s="63">
        <f>'Pärnu mk'!T23</f>
        <v>1590.7189999999991</v>
      </c>
      <c r="I9" s="7" t="s">
        <v>103</v>
      </c>
      <c r="J9" s="66">
        <f>B9/'Rapla mk'!K5</f>
        <v>3.9461919999999999</v>
      </c>
      <c r="K9" s="66" t="s">
        <v>66</v>
      </c>
      <c r="L9" s="66" t="s">
        <v>66</v>
      </c>
      <c r="M9" s="114">
        <f>E9/'Pärnu mk'!K5</f>
        <v>29.544911428571424</v>
      </c>
      <c r="N9" s="114">
        <f>F9/'Pärnu mk'!K5</f>
        <v>23.544911428571424</v>
      </c>
      <c r="O9" s="103">
        <f>G9/'Pärnu mk'!K5</f>
        <v>4.5449114285714263</v>
      </c>
      <c r="Q9" s="67" t="str">
        <f>'Rapla mk'!G21</f>
        <v>Täitematerjal</v>
      </c>
      <c r="R9" s="68">
        <f>'Rapla mk'!H21</f>
        <v>959.65589999999997</v>
      </c>
      <c r="S9" s="69">
        <f>'Rapla mk'!H21/'Rapla mk'!D16</f>
        <v>0.22112806001051222</v>
      </c>
      <c r="T9" s="68">
        <f>'Rapla mk'!I21</f>
        <v>29.988299999999999</v>
      </c>
      <c r="U9" s="69">
        <f>30/'Rapla mk'!E16</f>
        <v>0.16869342444277749</v>
      </c>
      <c r="V9" s="70">
        <f>'Rapla mk'!K21</f>
        <v>32.001010394053679</v>
      </c>
    </row>
    <row r="10" spans="1:22" x14ac:dyDescent="0.25">
      <c r="A10" s="7" t="s">
        <v>141</v>
      </c>
      <c r="B10" s="50">
        <f>'Rapla mk'!H33</f>
        <v>1788.2922600000002</v>
      </c>
      <c r="C10" s="50">
        <f>'Rapla mk'!N33</f>
        <v>888.29226000000017</v>
      </c>
      <c r="D10" s="50" t="str">
        <f>'Rapla mk'!T33</f>
        <v>-</v>
      </c>
      <c r="E10" s="111">
        <f>'Pärnu mk'!H24</f>
        <v>4185.43923</v>
      </c>
      <c r="F10" s="111">
        <f>'Pärnu mk'!N24</f>
        <v>2985.43923</v>
      </c>
      <c r="G10" s="63" t="str">
        <f>'Pärnu mk'!T24</f>
        <v>-</v>
      </c>
      <c r="I10" s="7" t="s">
        <v>141</v>
      </c>
      <c r="J10" s="66">
        <f>B10/'Rapla mk'!K6</f>
        <v>11.921948400000002</v>
      </c>
      <c r="K10" s="66">
        <f>C10/'Rapla mk'!K6</f>
        <v>5.9219484000000016</v>
      </c>
      <c r="L10" s="66" t="s">
        <v>66</v>
      </c>
      <c r="M10" s="114">
        <f>E10/'Pärnu mk'!K6</f>
        <v>20.92719615</v>
      </c>
      <c r="N10" s="114">
        <f>F10/'Pärnu mk'!K6</f>
        <v>14.92719615</v>
      </c>
      <c r="O10" s="103" t="s">
        <v>66</v>
      </c>
      <c r="Q10" s="215" t="str">
        <f>'Rapla mk'!G22</f>
        <v>Reinu</v>
      </c>
      <c r="R10" s="215"/>
      <c r="S10" s="215"/>
      <c r="T10" s="215"/>
      <c r="U10" s="215"/>
      <c r="V10" s="215"/>
    </row>
    <row r="11" spans="1:22" x14ac:dyDescent="0.25">
      <c r="A11" s="57" t="s">
        <v>142</v>
      </c>
      <c r="B11" s="85">
        <f>'Rapla mk'!H34</f>
        <v>4339.8196499999995</v>
      </c>
      <c r="C11" s="50">
        <f>'Rapla mk'!N34</f>
        <v>139.81964999999946</v>
      </c>
      <c r="D11" s="85" t="str">
        <f>'Rapla mk'!T34</f>
        <v>-</v>
      </c>
      <c r="E11" s="86">
        <f>'Pärnu mk'!H25</f>
        <v>10570.182430000001</v>
      </c>
      <c r="F11" s="63">
        <f>'Pärnu mk'!N25</f>
        <v>3370.1824300000007</v>
      </c>
      <c r="G11" s="86" t="str">
        <f>'Pärnu mk'!T25</f>
        <v>-</v>
      </c>
      <c r="I11" s="57" t="s">
        <v>142</v>
      </c>
      <c r="J11" s="96">
        <f>B11/'Rapla mk'!K7</f>
        <v>6.1997423571428563</v>
      </c>
      <c r="K11" s="96">
        <f>C11/'Rapla mk'!K7</f>
        <v>0.19974235714285637</v>
      </c>
      <c r="L11" s="96" t="s">
        <v>66</v>
      </c>
      <c r="M11" s="103">
        <f>E11/'Pärnu mk'!K7</f>
        <v>8.8084853583333338</v>
      </c>
      <c r="N11" s="103">
        <f>F11/'Pärnu mk'!K7</f>
        <v>2.8084853583333338</v>
      </c>
      <c r="O11" s="103" t="s">
        <v>66</v>
      </c>
      <c r="Q11" s="76" t="s">
        <v>111</v>
      </c>
      <c r="R11" s="77">
        <f>'Rapla mk'!H23</f>
        <v>2870.9</v>
      </c>
      <c r="S11" s="78">
        <f>'Rapla mk'!H23/'Rapla mk'!D13</f>
        <v>0.28718410850925385</v>
      </c>
      <c r="T11" s="77">
        <f>'Rapla mk'!I23</f>
        <v>36</v>
      </c>
      <c r="U11" s="78">
        <f>36/'Rapla mk'!E13</f>
        <v>0.16835331749565086</v>
      </c>
      <c r="V11" s="79">
        <f>'Rapla mk'!K23</f>
        <v>79.74722222222222</v>
      </c>
    </row>
    <row r="12" spans="1:22" x14ac:dyDescent="0.25">
      <c r="A12" s="60"/>
      <c r="B12" s="206" t="s">
        <v>113</v>
      </c>
      <c r="C12" s="206"/>
      <c r="D12" s="206"/>
      <c r="E12" s="206"/>
      <c r="F12" s="206"/>
      <c r="G12" s="207"/>
      <c r="I12" s="60"/>
      <c r="J12" s="206" t="s">
        <v>113</v>
      </c>
      <c r="K12" s="206"/>
      <c r="L12" s="206"/>
      <c r="M12" s="206"/>
      <c r="N12" s="206"/>
      <c r="O12" s="207"/>
      <c r="Q12" s="80"/>
      <c r="R12" s="80"/>
      <c r="S12" s="80"/>
      <c r="T12" s="80"/>
      <c r="U12" s="80"/>
      <c r="V12" s="80"/>
    </row>
    <row r="13" spans="1:22" x14ac:dyDescent="0.25">
      <c r="A13" s="7" t="s">
        <v>139</v>
      </c>
      <c r="B13" s="91" t="str">
        <f>'Rapla mk'!H37</f>
        <v>-</v>
      </c>
      <c r="C13" s="92">
        <f>'Rapla mk'!N37</f>
        <v>3887.2999999999993</v>
      </c>
      <c r="D13" s="91">
        <f>'Rapla mk'!T37</f>
        <v>87.299999999999272</v>
      </c>
      <c r="E13" s="93" t="str">
        <f>'Pärnu mk'!H28</f>
        <v>-</v>
      </c>
      <c r="F13" s="93" t="str">
        <f>'Pärnu mk'!N28</f>
        <v>-</v>
      </c>
      <c r="G13" s="93" t="str">
        <f>'Pärnu mk'!T28</f>
        <v>-</v>
      </c>
      <c r="I13" s="7" t="s">
        <v>139</v>
      </c>
      <c r="J13" s="97" t="s">
        <v>66</v>
      </c>
      <c r="K13" s="102">
        <f>C13/'Rapla mk'!K6</f>
        <v>25.915333333333329</v>
      </c>
      <c r="L13" s="97">
        <f>D13/'Rapla mk'!K7</f>
        <v>0.12471428571428468</v>
      </c>
      <c r="M13" s="105" t="s">
        <v>66</v>
      </c>
      <c r="N13" s="105" t="s">
        <v>66</v>
      </c>
      <c r="O13" s="105" t="s">
        <v>66</v>
      </c>
      <c r="Q13" s="216" t="s">
        <v>100</v>
      </c>
      <c r="R13" s="216"/>
      <c r="S13" s="216"/>
      <c r="T13" s="216"/>
      <c r="U13" s="216"/>
      <c r="V13" s="216"/>
    </row>
    <row r="14" spans="1:22" x14ac:dyDescent="0.25">
      <c r="A14" s="7" t="s">
        <v>140</v>
      </c>
      <c r="B14" s="62">
        <f>'Rapla mk'!H38</f>
        <v>9996.7230600000003</v>
      </c>
      <c r="C14" s="92">
        <f>'Rapla mk'!N38</f>
        <v>12121.323060000001</v>
      </c>
      <c r="D14" s="62">
        <f>'Rapla mk'!T38</f>
        <v>9271.3230600000006</v>
      </c>
      <c r="E14" s="64">
        <f>'Pärnu mk'!H29</f>
        <v>4376.8180000000002</v>
      </c>
      <c r="F14" s="112">
        <f>'Pärnu mk'!N29</f>
        <v>4029.8180000000002</v>
      </c>
      <c r="G14" s="63">
        <f>'Pärnu mk'!T29</f>
        <v>229.81800000000021</v>
      </c>
      <c r="I14" s="7" t="s">
        <v>140</v>
      </c>
      <c r="J14" s="98">
        <f>B14/'Rapla mk'!K4</f>
        <v>66.6448204</v>
      </c>
      <c r="K14" s="98">
        <f>C14/'Rapla mk'!K4</f>
        <v>80.808820400000002</v>
      </c>
      <c r="L14" s="98">
        <f>D14/'Rapla mk'!K4</f>
        <v>61.808820400000002</v>
      </c>
      <c r="M14" s="114">
        <f>E14/'Pärnu mk'!K4</f>
        <v>21.88409</v>
      </c>
      <c r="N14" s="114">
        <f>F14/'Pärnu mk'!K4</f>
        <v>20.149090000000001</v>
      </c>
      <c r="O14" s="103">
        <f>G14/'Pärnu mk'!K4</f>
        <v>1.1490900000000011</v>
      </c>
      <c r="Q14" s="81"/>
      <c r="R14" s="7" t="s">
        <v>54</v>
      </c>
      <c r="S14" s="7" t="s">
        <v>65</v>
      </c>
      <c r="T14" s="7" t="s">
        <v>9</v>
      </c>
      <c r="U14" s="7" t="s">
        <v>65</v>
      </c>
      <c r="V14" s="7" t="s">
        <v>107</v>
      </c>
    </row>
    <row r="15" spans="1:22" x14ac:dyDescent="0.25">
      <c r="A15" s="7" t="s">
        <v>103</v>
      </c>
      <c r="B15" s="61">
        <f>'Rapla mk'!H39</f>
        <v>986.548</v>
      </c>
      <c r="C15" s="91">
        <f>'Rapla mk'!N39</f>
        <v>273.77800000000002</v>
      </c>
      <c r="D15" s="61" t="str">
        <f>'Rapla mk'!T39</f>
        <v>-</v>
      </c>
      <c r="E15" s="64">
        <f>'Pärnu mk'!H30</f>
        <v>10340.718999999999</v>
      </c>
      <c r="F15" s="112">
        <f>'Pärnu mk'!N30</f>
        <v>12116.718999999999</v>
      </c>
      <c r="G15" s="64">
        <f>'Pärnu mk'!T30</f>
        <v>5466.7189999999991</v>
      </c>
      <c r="I15" s="7" t="s">
        <v>103</v>
      </c>
      <c r="J15" s="99">
        <f>B15/'Rapla mk'!K5</f>
        <v>3.9461919999999999</v>
      </c>
      <c r="K15" s="99">
        <f>C15/'Rapla mk'!K5</f>
        <v>1.0951120000000001</v>
      </c>
      <c r="L15" s="99" t="s">
        <v>66</v>
      </c>
      <c r="M15" s="114">
        <f>E15/'Pärnu mk'!K5</f>
        <v>29.544911428571424</v>
      </c>
      <c r="N15" s="114">
        <f>F15/'Pärnu mk'!K5</f>
        <v>34.619197142857139</v>
      </c>
      <c r="O15" s="114">
        <f>G15/'Pärnu mk'!K5</f>
        <v>15.619197142857141</v>
      </c>
      <c r="Q15" s="220" t="s">
        <v>84</v>
      </c>
      <c r="R15" s="221"/>
      <c r="S15" s="221"/>
      <c r="T15" s="221"/>
      <c r="U15" s="221"/>
      <c r="V15" s="222"/>
    </row>
    <row r="16" spans="1:22" x14ac:dyDescent="0.25">
      <c r="A16" s="7" t="s">
        <v>141</v>
      </c>
      <c r="B16" s="61">
        <f>'Rapla mk'!H40</f>
        <v>1788.2922600000002</v>
      </c>
      <c r="C16" s="91">
        <f>'Rapla mk'!N40</f>
        <v>1141.6922600000003</v>
      </c>
      <c r="D16" s="61" t="str">
        <f>'Rapla mk'!T40</f>
        <v>-</v>
      </c>
      <c r="E16" s="64">
        <f>'Pärnu mk'!H31</f>
        <v>4185.43923</v>
      </c>
      <c r="F16" s="112">
        <f>'Pärnu mk'!N31</f>
        <v>3189.0392300000003</v>
      </c>
      <c r="G16" s="63" t="str">
        <f>'Pärnu mk'!T31</f>
        <v>-</v>
      </c>
      <c r="I16" s="7" t="s">
        <v>141</v>
      </c>
      <c r="J16" s="99">
        <f>B16/'Rapla mk'!K6</f>
        <v>11.921948400000002</v>
      </c>
      <c r="K16" s="99">
        <f>C16/'Rapla mk'!K6</f>
        <v>7.6112817333333354</v>
      </c>
      <c r="L16" s="99" t="s">
        <v>66</v>
      </c>
      <c r="M16" s="114">
        <f>E16/'Pärnu mk'!K6</f>
        <v>20.92719615</v>
      </c>
      <c r="N16" s="114">
        <f>F16/'Pärnu mk'!K6</f>
        <v>15.945196150000001</v>
      </c>
      <c r="O16" s="103" t="s">
        <v>66</v>
      </c>
      <c r="Q16" s="72" t="s">
        <v>111</v>
      </c>
      <c r="R16" s="72">
        <f>'Pärnu mk'!I42</f>
        <v>425.4</v>
      </c>
      <c r="S16" s="219">
        <f>SUM('Pärnu mk'!I42:I45)/'Pärnu mk'!D13</f>
        <v>0.46723441550459716</v>
      </c>
      <c r="T16" s="72">
        <f>'Pärnu mk'!K42</f>
        <v>31.6</v>
      </c>
      <c r="U16" s="219">
        <f>SUM('Pärnu mk'!K42:K45)/'Pärnu mk'!E13</f>
        <v>1.0829132201067007</v>
      </c>
      <c r="V16" s="75">
        <f>R16/T16</f>
        <v>13.462025316455694</v>
      </c>
    </row>
    <row r="17" spans="1:22" x14ac:dyDescent="0.25">
      <c r="A17" s="57" t="s">
        <v>142</v>
      </c>
      <c r="B17" s="87">
        <f>'Rapla mk'!H41</f>
        <v>4339.8196499999995</v>
      </c>
      <c r="C17" s="91">
        <f>'Rapla mk'!N41</f>
        <v>3780.589649999999</v>
      </c>
      <c r="D17" s="87" t="str">
        <f>'Rapla mk'!T41</f>
        <v>-</v>
      </c>
      <c r="E17" s="86">
        <f>'Pärnu mk'!H32</f>
        <v>10570.182430000001</v>
      </c>
      <c r="F17" s="93">
        <f>'Pärnu mk'!N32</f>
        <v>8057.7824300000011</v>
      </c>
      <c r="G17" s="86" t="str">
        <f>'Pärnu mk'!T32</f>
        <v>-</v>
      </c>
      <c r="I17" s="57" t="s">
        <v>142</v>
      </c>
      <c r="J17" s="100">
        <f>B17/'Rapla mk'!K7</f>
        <v>6.1997423571428563</v>
      </c>
      <c r="K17" s="100">
        <f>C17/'Rapla mk'!K7</f>
        <v>5.4008423571428557</v>
      </c>
      <c r="L17" s="100" t="s">
        <v>66</v>
      </c>
      <c r="M17" s="103">
        <f>E17/'Pärnu mk'!K7</f>
        <v>8.8084853583333338</v>
      </c>
      <c r="N17" s="103">
        <f>F17/'Pärnu mk'!K7</f>
        <v>6.7148186916666672</v>
      </c>
      <c r="O17" s="104" t="s">
        <v>66</v>
      </c>
      <c r="Q17" s="72" t="s">
        <v>12</v>
      </c>
      <c r="R17" s="72">
        <f>'Pärnu mk'!I43</f>
        <v>1351.1</v>
      </c>
      <c r="S17" s="219"/>
      <c r="T17" s="72">
        <f>'Pärnu mk'!K43</f>
        <v>56.9</v>
      </c>
      <c r="U17" s="219"/>
      <c r="V17" s="75">
        <f>R17/T17</f>
        <v>23.745166959578206</v>
      </c>
    </row>
    <row r="18" spans="1:22" x14ac:dyDescent="0.25">
      <c r="A18" s="60"/>
      <c r="B18" s="206" t="s">
        <v>114</v>
      </c>
      <c r="C18" s="206"/>
      <c r="D18" s="206"/>
      <c r="E18" s="206"/>
      <c r="F18" s="206"/>
      <c r="G18" s="207"/>
      <c r="I18" s="60"/>
      <c r="J18" s="206" t="s">
        <v>114</v>
      </c>
      <c r="K18" s="206"/>
      <c r="L18" s="206"/>
      <c r="M18" s="206"/>
      <c r="N18" s="206"/>
      <c r="O18" s="207"/>
      <c r="Q18" s="220" t="s">
        <v>85</v>
      </c>
      <c r="R18" s="222"/>
      <c r="S18" s="219"/>
      <c r="T18" s="72"/>
      <c r="U18" s="219"/>
      <c r="V18" s="82"/>
    </row>
    <row r="19" spans="1:22" x14ac:dyDescent="0.25">
      <c r="A19" s="7" t="s">
        <v>139</v>
      </c>
      <c r="B19" s="94" t="str">
        <f>'Rapla mk'!H50</f>
        <v>-</v>
      </c>
      <c r="C19" s="94" t="str">
        <f>'Rapla mk'!N50</f>
        <v>-</v>
      </c>
      <c r="D19" s="94" t="str">
        <f>'Rapla mk'!T50</f>
        <v>-</v>
      </c>
      <c r="E19" s="93" t="str">
        <f>'Pärnu mk'!H51</f>
        <v>-</v>
      </c>
      <c r="F19" s="93" t="str">
        <f>'Pärnu mk'!N51</f>
        <v>-</v>
      </c>
      <c r="G19" s="93" t="str">
        <f>'Pärnu mk'!T51</f>
        <v>-</v>
      </c>
      <c r="I19" s="7" t="s">
        <v>139</v>
      </c>
      <c r="J19" s="101" t="s">
        <v>66</v>
      </c>
      <c r="K19" s="101" t="s">
        <v>66</v>
      </c>
      <c r="L19" s="101" t="s">
        <v>66</v>
      </c>
      <c r="M19" s="106" t="s">
        <v>66</v>
      </c>
      <c r="N19" s="106" t="s">
        <v>66</v>
      </c>
      <c r="O19" s="106" t="s">
        <v>66</v>
      </c>
      <c r="Q19" s="72" t="s">
        <v>111</v>
      </c>
      <c r="R19" s="72">
        <f>'Pärnu mk'!I44</f>
        <v>135.6</v>
      </c>
      <c r="S19" s="219"/>
      <c r="T19" s="72">
        <f>'Pärnu mk'!K44</f>
        <v>80.599999999999994</v>
      </c>
      <c r="U19" s="219"/>
      <c r="V19" s="75">
        <f>R19/T19</f>
        <v>1.6823821339950373</v>
      </c>
    </row>
    <row r="20" spans="1:22" x14ac:dyDescent="0.25">
      <c r="A20" s="7" t="s">
        <v>140</v>
      </c>
      <c r="B20" s="62">
        <f>'Rapla mk'!H51</f>
        <v>9996.7230600000003</v>
      </c>
      <c r="C20" s="113">
        <f>'Rapla mk'!N51</f>
        <v>6877.7070600000006</v>
      </c>
      <c r="D20" s="62">
        <f>'Rapla mk'!T51</f>
        <v>2814.8230599999993</v>
      </c>
      <c r="E20" s="63">
        <f>'Pärnu mk'!H52</f>
        <v>4376.8180000000002</v>
      </c>
      <c r="F20" s="93">
        <f>'Pärnu mk'!N52</f>
        <v>171.13000000000019</v>
      </c>
      <c r="G20" s="63" t="str">
        <f>'Pärnu mk'!T52</f>
        <v>-</v>
      </c>
      <c r="I20" s="7" t="s">
        <v>140</v>
      </c>
      <c r="J20" s="99">
        <f>B20/'Rapla mk'!X3</f>
        <v>17.204997728195842</v>
      </c>
      <c r="K20" s="98">
        <f>C20/'Rapla mk'!E13</f>
        <v>32.163466675396101</v>
      </c>
      <c r="L20" s="99">
        <f>D20/'Rapla mk'!E13</f>
        <v>13.163466675396094</v>
      </c>
      <c r="M20" s="107">
        <f>E20/'Pärnu mk'!X3</f>
        <v>5.4138522205509823</v>
      </c>
      <c r="N20" s="107">
        <f>F20/'Pärnu mk'!E13</f>
        <v>1.0469996573833891</v>
      </c>
      <c r="O20" s="107" t="s">
        <v>66</v>
      </c>
      <c r="Q20" s="72" t="s">
        <v>12</v>
      </c>
      <c r="R20" s="72">
        <f>'Pärnu mk'!I45</f>
        <v>132.9</v>
      </c>
      <c r="S20" s="219"/>
      <c r="T20" s="72">
        <f>'Pärnu mk'!K45</f>
        <v>7.9</v>
      </c>
      <c r="U20" s="219"/>
      <c r="V20" s="75">
        <f>R20/T20</f>
        <v>16.822784810126581</v>
      </c>
    </row>
    <row r="21" spans="1:22" x14ac:dyDescent="0.25">
      <c r="A21" s="7" t="s">
        <v>103</v>
      </c>
      <c r="B21" s="61">
        <f>'Rapla mk'!H52</f>
        <v>986.548</v>
      </c>
      <c r="C21" s="94">
        <f>'Rapla mk'!N52</f>
        <v>53.981199999999973</v>
      </c>
      <c r="D21" s="61" t="str">
        <f>'Rapla mk'!T52</f>
        <v>-</v>
      </c>
      <c r="E21" s="64">
        <f>'Pärnu mk'!H53</f>
        <v>10340.718999999999</v>
      </c>
      <c r="F21" s="112">
        <f>'Pärnu mk'!N53</f>
        <v>8403.4449999999997</v>
      </c>
      <c r="G21" s="64">
        <f>'Pärnu mk'!T53</f>
        <v>4407.1940000000004</v>
      </c>
      <c r="I21" s="7" t="s">
        <v>103</v>
      </c>
      <c r="J21" s="99">
        <f>B21/'Rapla mk'!X4</f>
        <v>5.7321515933618352</v>
      </c>
      <c r="K21" s="99">
        <f>C21/'Rapla mk'!E14</f>
        <v>0.74944951810273219</v>
      </c>
      <c r="L21" s="99" t="s">
        <v>66</v>
      </c>
      <c r="M21" s="108">
        <f>E21/'Pärnu mk'!X4</f>
        <v>29.939340859147219</v>
      </c>
      <c r="N21" s="108">
        <f>F21/'Pärnu mk'!E14</f>
        <v>39.953810458852558</v>
      </c>
      <c r="O21" s="108">
        <f>G21/'Pärnu mk'!E14</f>
        <v>20.953810458852562</v>
      </c>
      <c r="Q21" s="223" t="s">
        <v>102</v>
      </c>
      <c r="R21" s="224"/>
      <c r="S21" s="224"/>
      <c r="T21" s="224"/>
      <c r="U21" s="224"/>
      <c r="V21" s="225"/>
    </row>
    <row r="22" spans="1:22" x14ac:dyDescent="0.25">
      <c r="A22" s="7" t="s">
        <v>141</v>
      </c>
      <c r="B22" s="61">
        <f>'Rapla mk'!H53</f>
        <v>1788.2922600000002</v>
      </c>
      <c r="C22" s="94">
        <f>'Rapla mk'!N53</f>
        <v>457.37886000000037</v>
      </c>
      <c r="D22" s="61" t="str">
        <f>'Rapla mk'!T53</f>
        <v>-</v>
      </c>
      <c r="E22" s="63">
        <f>'Pärnu mk'!H54</f>
        <v>4185.43923</v>
      </c>
      <c r="F22" s="93">
        <f>'Pärnu mk'!N54</f>
        <v>2476.4328300000002</v>
      </c>
      <c r="G22" s="63" t="str">
        <f>'Pärnu mk'!T54</f>
        <v>-</v>
      </c>
      <c r="I22" s="7" t="s">
        <v>141</v>
      </c>
      <c r="J22" s="99">
        <f>B22/'Rapla mk'!X5</f>
        <v>7.4981153372195859</v>
      </c>
      <c r="K22" s="99">
        <f>C22/'Rapla mk'!E15</f>
        <v>3.3043093103615209</v>
      </c>
      <c r="L22" s="99" t="s">
        <v>66</v>
      </c>
      <c r="M22" s="107">
        <f>E22/'Pärnu mk'!X5</f>
        <v>13.61807545541744</v>
      </c>
      <c r="N22" s="107">
        <f>F22/'Pärnu mk'!E15</f>
        <v>14.374097886982224</v>
      </c>
      <c r="O22" s="107" t="s">
        <v>66</v>
      </c>
      <c r="Q22" s="76" t="s">
        <v>3</v>
      </c>
      <c r="R22" s="83">
        <f>'Pärnu mk'!I46</f>
        <v>1199.8009999999999</v>
      </c>
      <c r="S22" s="84">
        <f>'Pärnu mk'!J46</f>
        <v>0.11602684494182658</v>
      </c>
      <c r="T22" s="76">
        <f>'Pärnu mk'!K46</f>
        <v>76.900000000000006</v>
      </c>
      <c r="U22" s="84">
        <f>'Pärnu mk'!K46/'Pärnu mk'!E14</f>
        <v>0.36561767516604937</v>
      </c>
      <c r="V22" s="79">
        <f>R22/T22</f>
        <v>15.602093628088424</v>
      </c>
    </row>
    <row r="23" spans="1:22" x14ac:dyDescent="0.25">
      <c r="A23" s="57" t="s">
        <v>142</v>
      </c>
      <c r="B23" s="87">
        <f>'Rapla mk'!H54</f>
        <v>4339.8196499999995</v>
      </c>
      <c r="C23" s="94" t="str">
        <f>'Rapla mk'!N54</f>
        <v>-</v>
      </c>
      <c r="D23" s="87" t="str">
        <f>'Rapla mk'!T54</f>
        <v>-</v>
      </c>
      <c r="E23" s="63">
        <f>'Pärnu mk'!H55</f>
        <v>10570.182430000001</v>
      </c>
      <c r="F23" s="93" t="str">
        <f>'Pärnu mk'!N55</f>
        <v>-</v>
      </c>
      <c r="G23" s="63" t="str">
        <f>'Pärnu mk'!T55</f>
        <v>-</v>
      </c>
      <c r="I23" s="57" t="s">
        <v>142</v>
      </c>
      <c r="J23" s="100">
        <f>B23/'Rapla mk'!X6</f>
        <v>2.5067695120260618</v>
      </c>
      <c r="K23" s="100" t="s">
        <v>66</v>
      </c>
      <c r="L23" s="100" t="s">
        <v>66</v>
      </c>
      <c r="M23" s="107">
        <f>E23/'Pärnu mk'!X6</f>
        <v>4.975054289284107</v>
      </c>
      <c r="N23" s="107" t="s">
        <v>66</v>
      </c>
      <c r="O23" s="107" t="s">
        <v>66</v>
      </c>
    </row>
    <row r="24" spans="1:22" x14ac:dyDescent="0.25">
      <c r="A24" s="121"/>
      <c r="B24" s="208" t="s">
        <v>115</v>
      </c>
      <c r="C24" s="208"/>
      <c r="D24" s="209"/>
      <c r="E24" s="208" t="s">
        <v>118</v>
      </c>
      <c r="F24" s="208"/>
      <c r="G24" s="209"/>
      <c r="I24" s="121"/>
      <c r="J24" s="208" t="s">
        <v>115</v>
      </c>
      <c r="K24" s="208"/>
      <c r="L24" s="209"/>
      <c r="M24" s="208" t="s">
        <v>118</v>
      </c>
      <c r="N24" s="208"/>
      <c r="O24" s="209"/>
    </row>
    <row r="25" spans="1:22" x14ac:dyDescent="0.25">
      <c r="A25" s="56" t="s">
        <v>139</v>
      </c>
      <c r="B25" s="122" t="str">
        <f>'Rapla mk'!H64</f>
        <v>-</v>
      </c>
      <c r="C25" s="122" t="str">
        <f>'Rapla mk'!N64</f>
        <v>-</v>
      </c>
      <c r="D25" s="122" t="str">
        <f>'Rapla mk'!T64</f>
        <v>-</v>
      </c>
      <c r="E25" s="123" t="str">
        <f>'Pärnu mk'!H65</f>
        <v>-</v>
      </c>
      <c r="F25" s="123" t="str">
        <f>'Pärnu mk'!N65</f>
        <v>-</v>
      </c>
      <c r="G25" s="123" t="str">
        <f>'Pärnu mk'!T65</f>
        <v>-</v>
      </c>
      <c r="I25" s="56" t="s">
        <v>139</v>
      </c>
      <c r="J25" s="199" t="s">
        <v>66</v>
      </c>
      <c r="K25" s="199" t="s">
        <v>66</v>
      </c>
      <c r="L25" s="199" t="s">
        <v>66</v>
      </c>
      <c r="M25" s="200" t="s">
        <v>66</v>
      </c>
      <c r="N25" s="200" t="s">
        <v>66</v>
      </c>
      <c r="O25" s="200" t="s">
        <v>66</v>
      </c>
    </row>
    <row r="26" spans="1:22" x14ac:dyDescent="0.25">
      <c r="A26" s="56" t="s">
        <v>140</v>
      </c>
      <c r="B26" s="124">
        <f>'Rapla mk'!H65</f>
        <v>4425.4550600000002</v>
      </c>
      <c r="C26" s="125">
        <f>'Rapla mk'!N65</f>
        <v>2178.6866599999994</v>
      </c>
      <c r="D26" s="124" t="str">
        <f>'Rapla mk'!T65</f>
        <v>-</v>
      </c>
      <c r="E26" s="123">
        <f>'Pärnu mk'!H66</f>
        <v>3815.8180000000002</v>
      </c>
      <c r="F26" s="123" t="str">
        <f>'Pärnu mk'!N66</f>
        <v>-</v>
      </c>
      <c r="G26" s="123" t="str">
        <f>'Pärnu mk'!T66</f>
        <v>-</v>
      </c>
      <c r="I26" s="56" t="s">
        <v>140</v>
      </c>
      <c r="J26" s="201">
        <f>B26/'Rapla mk'!X3</f>
        <v>7.6164903035268035</v>
      </c>
      <c r="K26" s="201">
        <f>C26/'Rapla mk'!E13</f>
        <v>10.188586860958862</v>
      </c>
      <c r="L26" s="201" t="s">
        <v>66</v>
      </c>
      <c r="M26" s="200">
        <f>E26/'Pärnu mk'!X3</f>
        <v>4.7199300387903742</v>
      </c>
      <c r="N26" s="200" t="s">
        <v>66</v>
      </c>
      <c r="O26" s="200" t="s">
        <v>66</v>
      </c>
    </row>
    <row r="27" spans="1:22" x14ac:dyDescent="0.25">
      <c r="A27" s="56" t="s">
        <v>103</v>
      </c>
      <c r="B27" s="124">
        <f>'Rapla mk'!H66</f>
        <v>986.548</v>
      </c>
      <c r="C27" s="125">
        <f>'Rapla mk'!N66</f>
        <v>53.981199999999973</v>
      </c>
      <c r="D27" s="126" t="str">
        <f>'Rapla mk'!T66</f>
        <v>-</v>
      </c>
      <c r="E27" s="127">
        <f>'Pärnu mk'!H67</f>
        <v>9140.9179999999997</v>
      </c>
      <c r="F27" s="128">
        <f>'Pärnu mk'!N67</f>
        <v>7203.6440000000002</v>
      </c>
      <c r="G27" s="127">
        <f>'Pärnu mk'!T67</f>
        <v>3207.3930000000009</v>
      </c>
      <c r="I27" s="56" t="s">
        <v>103</v>
      </c>
      <c r="J27" s="201">
        <f>B27/'Rapla mk'!X4</f>
        <v>5.7321515933618352</v>
      </c>
      <c r="K27" s="201">
        <f>C27/'Rapla mk'!E14</f>
        <v>0.74944951810273219</v>
      </c>
      <c r="L27" s="202" t="s">
        <v>66</v>
      </c>
      <c r="M27" s="203">
        <f>E27/'Pärnu mk'!X4</f>
        <v>26.465573599622452</v>
      </c>
      <c r="N27" s="203">
        <f>F27/'Pärnu mk'!E14</f>
        <v>34.249409258827839</v>
      </c>
      <c r="O27" s="203">
        <f>G27/'Pärnu mk'!E14</f>
        <v>15.249409258827841</v>
      </c>
    </row>
    <row r="28" spans="1:22" x14ac:dyDescent="0.25">
      <c r="A28" s="56" t="s">
        <v>141</v>
      </c>
      <c r="B28" s="124">
        <f>'Rapla mk'!H67</f>
        <v>1788.2922600000002</v>
      </c>
      <c r="C28" s="125">
        <f>'Rapla mk'!N67</f>
        <v>457.37886000000037</v>
      </c>
      <c r="D28" s="126" t="str">
        <f>'Rapla mk'!T67</f>
        <v>-</v>
      </c>
      <c r="E28" s="123">
        <f>'Pärnu mk'!H68</f>
        <v>4185.43923</v>
      </c>
      <c r="F28" s="123">
        <f>'Pärnu mk'!N68</f>
        <v>2476.4328300000002</v>
      </c>
      <c r="G28" s="123" t="str">
        <f>'Pärnu mk'!T68</f>
        <v>-</v>
      </c>
      <c r="I28" s="56" t="s">
        <v>141</v>
      </c>
      <c r="J28" s="201">
        <f>B28/'Rapla mk'!X5</f>
        <v>7.4981153372195859</v>
      </c>
      <c r="K28" s="201">
        <f>C28/'Rapla mk'!E15</f>
        <v>3.3043093103615209</v>
      </c>
      <c r="L28" s="202" t="s">
        <v>66</v>
      </c>
      <c r="M28" s="200">
        <f>E28/'Pärnu mk'!X5</f>
        <v>13.61807545541744</v>
      </c>
      <c r="N28" s="200">
        <f>F28/'Pärnu mk'!E15</f>
        <v>14.374097886982224</v>
      </c>
      <c r="O28" s="200" t="s">
        <v>66</v>
      </c>
    </row>
    <row r="29" spans="1:22" x14ac:dyDescent="0.25">
      <c r="A29" s="198" t="s">
        <v>142</v>
      </c>
      <c r="B29" s="124">
        <f>'Rapla mk'!H68</f>
        <v>3380.1637499999997</v>
      </c>
      <c r="C29" s="122" t="str">
        <f>'Rapla mk'!N68</f>
        <v>-</v>
      </c>
      <c r="D29" s="126" t="str">
        <f>'Rapla mk'!T68</f>
        <v>-</v>
      </c>
      <c r="E29" s="127">
        <f>'Pärnu mk'!H69</f>
        <v>10570.182430000001</v>
      </c>
      <c r="F29" s="123" t="str">
        <f>'Pärnu mk'!N69</f>
        <v>-</v>
      </c>
      <c r="G29" s="123" t="str">
        <f>'Pärnu mk'!T69</f>
        <v>-</v>
      </c>
      <c r="I29" s="198" t="s">
        <v>142</v>
      </c>
      <c r="J29" s="204">
        <f>B29/'Rapla mk'!X6</f>
        <v>1.9524524329382407</v>
      </c>
      <c r="K29" s="202" t="s">
        <v>66</v>
      </c>
      <c r="L29" s="202" t="s">
        <v>66</v>
      </c>
      <c r="M29" s="200">
        <f>E29/'Pärnu mk'!X6</f>
        <v>4.975054289284107</v>
      </c>
      <c r="N29" s="200" t="s">
        <v>66</v>
      </c>
      <c r="O29" s="200" t="s">
        <v>66</v>
      </c>
    </row>
    <row r="30" spans="1:22" x14ac:dyDescent="0.25">
      <c r="A30" s="8"/>
      <c r="B30" s="205" t="s">
        <v>116</v>
      </c>
      <c r="C30" s="205"/>
      <c r="D30" s="205"/>
      <c r="E30" s="205"/>
      <c r="F30" s="205"/>
      <c r="G30" s="205"/>
      <c r="I30" s="8"/>
      <c r="J30" s="205" t="s">
        <v>116</v>
      </c>
      <c r="K30" s="205"/>
      <c r="L30" s="205"/>
      <c r="M30" s="205"/>
      <c r="N30" s="205"/>
      <c r="O30" s="205"/>
    </row>
    <row r="31" spans="1:22" x14ac:dyDescent="0.25">
      <c r="A31" s="7" t="s">
        <v>139</v>
      </c>
      <c r="B31" s="50" t="str">
        <f>'Rapla mk'!H57</f>
        <v>-</v>
      </c>
      <c r="C31" s="49">
        <f>'Rapla mk'!N57</f>
        <v>3887.2999999999993</v>
      </c>
      <c r="D31" s="50">
        <f>'Rapla mk'!T57</f>
        <v>87.299999999999272</v>
      </c>
      <c r="E31" s="63" t="str">
        <f>'Pärnu mk'!H58</f>
        <v>-</v>
      </c>
      <c r="F31" s="63" t="str">
        <f>'Pärnu mk'!N58</f>
        <v>-</v>
      </c>
      <c r="G31" s="63" t="str">
        <f>'Pärnu mk'!T58</f>
        <v>-</v>
      </c>
      <c r="I31" s="7" t="s">
        <v>139</v>
      </c>
      <c r="J31" s="66" t="s">
        <v>66</v>
      </c>
      <c r="K31" s="65">
        <f>C31/'Rapla mk'!K6</f>
        <v>25.915333333333329</v>
      </c>
      <c r="L31" s="66">
        <f>D31/'Rapla mk'!K6</f>
        <v>0.58199999999999519</v>
      </c>
      <c r="M31" s="107" t="s">
        <v>66</v>
      </c>
      <c r="N31" s="107" t="s">
        <v>66</v>
      </c>
      <c r="O31" s="107" t="s">
        <v>66</v>
      </c>
    </row>
    <row r="32" spans="1:22" x14ac:dyDescent="0.25">
      <c r="A32" s="7" t="s">
        <v>140</v>
      </c>
      <c r="B32" s="49">
        <f>'Rapla mk'!H58</f>
        <v>9996.7230600000003</v>
      </c>
      <c r="C32" s="49">
        <f>'Rapla mk'!N58</f>
        <v>9902.3070600000028</v>
      </c>
      <c r="D32" s="49">
        <f>'Rapla mk'!T58</f>
        <v>5839.4230600000046</v>
      </c>
      <c r="E32" s="63">
        <f>'Pärnu mk'!H59</f>
        <v>4376.8180000000002</v>
      </c>
      <c r="F32" s="63">
        <f>'Pärnu mk'!N59</f>
        <v>1024.1299999999999</v>
      </c>
      <c r="G32" s="63" t="str">
        <f>'Pärnu mk'!T59</f>
        <v>-</v>
      </c>
      <c r="I32" s="7" t="s">
        <v>140</v>
      </c>
      <c r="J32" s="99">
        <f>B32/'Rapla mk'!X3</f>
        <v>17.204997728195842</v>
      </c>
      <c r="K32" s="98">
        <f>C32/'Rapla mk'!E13</f>
        <v>46.307951233655707</v>
      </c>
      <c r="L32" s="65">
        <f>D32/'Rapla mk'!E13</f>
        <v>27.307951233655718</v>
      </c>
      <c r="M32" s="107">
        <f>E32/'Pärnu mk'!X3</f>
        <v>5.4138522205509823</v>
      </c>
      <c r="N32" s="107">
        <f>F32/'Pärnu mk'!E13</f>
        <v>6.2657848367676561</v>
      </c>
      <c r="O32" s="107" t="s">
        <v>66</v>
      </c>
    </row>
    <row r="33" spans="1:15" x14ac:dyDescent="0.25">
      <c r="A33" s="7" t="s">
        <v>103</v>
      </c>
      <c r="B33" s="50">
        <f>'Rapla mk'!H59</f>
        <v>986.548</v>
      </c>
      <c r="C33" s="49">
        <f>'Rapla mk'!N59</f>
        <v>1080.039</v>
      </c>
      <c r="D33" s="49" t="str">
        <f>'Rapla mk'!T59</f>
        <v>-</v>
      </c>
      <c r="E33" s="64">
        <f>'Pärnu mk'!H60</f>
        <v>10340.718999999999</v>
      </c>
      <c r="F33" s="111">
        <f>'Pärnu mk'!N60</f>
        <v>12279.445</v>
      </c>
      <c r="G33" s="64">
        <f>'Pärnu mk'!T60</f>
        <v>8283.1939999999995</v>
      </c>
      <c r="I33" s="7" t="s">
        <v>103</v>
      </c>
      <c r="J33" s="99">
        <f>B33/'Rapla mk'!X4</f>
        <v>5.7321515933618352</v>
      </c>
      <c r="K33" s="116">
        <f>C33/'Rapla mk'!E14</f>
        <v>14.994752026300956</v>
      </c>
      <c r="L33" s="66" t="s">
        <v>66</v>
      </c>
      <c r="M33" s="108">
        <f>E33/'Pärnu mk'!X4</f>
        <v>29.939340859147219</v>
      </c>
      <c r="N33" s="108">
        <f>F33/'Pärnu mk'!E14</f>
        <v>58.382082356688805</v>
      </c>
      <c r="O33" s="108">
        <f>G33/'Pärnu mk'!E14</f>
        <v>39.382082356688805</v>
      </c>
    </row>
    <row r="34" spans="1:15" x14ac:dyDescent="0.25">
      <c r="A34" s="7" t="s">
        <v>141</v>
      </c>
      <c r="B34" s="50">
        <f>'Rapla mk'!H60</f>
        <v>1788.2922600000002</v>
      </c>
      <c r="C34" s="50">
        <f>'Rapla mk'!N60</f>
        <v>710.77886000000046</v>
      </c>
      <c r="D34" s="49" t="str">
        <f>'Rapla mk'!T60</f>
        <v>-</v>
      </c>
      <c r="E34" s="63">
        <f>'Pärnu mk'!H61</f>
        <v>4185.43923</v>
      </c>
      <c r="F34" s="111">
        <f>'Pärnu mk'!N61</f>
        <v>2915.2328299999999</v>
      </c>
      <c r="G34" s="63" t="str">
        <f>'Pärnu mk'!T61</f>
        <v>-</v>
      </c>
      <c r="I34" s="7" t="s">
        <v>141</v>
      </c>
      <c r="J34" s="99">
        <f>B34/'Rapla mk'!X5</f>
        <v>7.4981153372195859</v>
      </c>
      <c r="K34" s="99">
        <f>C34/'Rapla mk'!E15</f>
        <v>5.1349841676245109</v>
      </c>
      <c r="L34" s="66" t="s">
        <v>66</v>
      </c>
      <c r="M34" s="107">
        <f>E34/'Pärnu mk'!X5</f>
        <v>13.61807545541744</v>
      </c>
      <c r="N34" s="108">
        <f>F34/'Pärnu mk'!E15</f>
        <v>16.921049323095996</v>
      </c>
      <c r="O34" s="107" t="s">
        <v>66</v>
      </c>
    </row>
    <row r="35" spans="1:15" x14ac:dyDescent="0.25">
      <c r="A35" s="57" t="s">
        <v>142</v>
      </c>
      <c r="B35" s="50">
        <f>'Rapla mk'!H61</f>
        <v>4339.8196499999995</v>
      </c>
      <c r="C35" s="50" t="str">
        <f>'Rapla mk'!N61</f>
        <v>-</v>
      </c>
      <c r="D35" s="49" t="str">
        <f>'Rapla mk'!T61</f>
        <v>-</v>
      </c>
      <c r="E35" s="63">
        <f>'Pärnu mk'!H62</f>
        <v>10570.182430000001</v>
      </c>
      <c r="F35" s="111">
        <f>'Pärnu mk'!N62</f>
        <v>4634.5994300000029</v>
      </c>
      <c r="G35" s="63" t="str">
        <f>'Pärnu mk'!T62</f>
        <v>-</v>
      </c>
      <c r="I35" s="7" t="s">
        <v>142</v>
      </c>
      <c r="J35" s="99">
        <f>B35/'Rapla mk'!X6</f>
        <v>2.5067695120260618</v>
      </c>
      <c r="K35" s="99" t="s">
        <v>66</v>
      </c>
      <c r="L35" s="66" t="s">
        <v>66</v>
      </c>
      <c r="M35" s="107">
        <f>E35/'Pärnu mk'!X6</f>
        <v>4.975054289284107</v>
      </c>
      <c r="N35" s="129">
        <f>F35/'Pärnu mk'!E16</f>
        <v>15.362949749033566</v>
      </c>
      <c r="O35" s="107" t="s">
        <v>66</v>
      </c>
    </row>
    <row r="37" spans="1:15" x14ac:dyDescent="0.25">
      <c r="A37" s="277" t="s">
        <v>151</v>
      </c>
    </row>
    <row r="39" spans="1:15" x14ac:dyDescent="0.25">
      <c r="B39" s="277" t="s">
        <v>151</v>
      </c>
    </row>
  </sheetData>
  <mergeCells count="27">
    <mergeCell ref="Q15:V15"/>
    <mergeCell ref="Q18:R18"/>
    <mergeCell ref="Q21:V21"/>
    <mergeCell ref="A2:G2"/>
    <mergeCell ref="I2:O2"/>
    <mergeCell ref="J4:L4"/>
    <mergeCell ref="M4:O4"/>
    <mergeCell ref="J6:O6"/>
    <mergeCell ref="J12:O12"/>
    <mergeCell ref="J18:O18"/>
    <mergeCell ref="J24:L24"/>
    <mergeCell ref="M24:O24"/>
    <mergeCell ref="J30:O30"/>
    <mergeCell ref="U16:U20"/>
    <mergeCell ref="S16:S20"/>
    <mergeCell ref="Q5:V5"/>
    <mergeCell ref="Q7:V7"/>
    <mergeCell ref="Q10:V10"/>
    <mergeCell ref="Q13:V13"/>
    <mergeCell ref="B6:G6"/>
    <mergeCell ref="B30:G30"/>
    <mergeCell ref="B18:G18"/>
    <mergeCell ref="B12:G12"/>
    <mergeCell ref="B24:D24"/>
    <mergeCell ref="B4:D4"/>
    <mergeCell ref="E4:G4"/>
    <mergeCell ref="E24:G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F023D-7592-4605-B2C2-D259C82FF46F}">
  <dimension ref="A1:X70"/>
  <sheetViews>
    <sheetView zoomScale="55" zoomScaleNormal="55" workbookViewId="0">
      <selection activeCell="H26" sqref="H26"/>
    </sheetView>
  </sheetViews>
  <sheetFormatPr defaultRowHeight="15" x14ac:dyDescent="0.25"/>
  <cols>
    <col min="1" max="1" width="10.85546875" style="1" bestFit="1" customWidth="1"/>
    <col min="2" max="2" width="31.42578125" style="1" bestFit="1" customWidth="1"/>
    <col min="3" max="3" width="24.85546875" style="1" bestFit="1" customWidth="1"/>
    <col min="4" max="4" width="28.7109375" style="1" bestFit="1" customWidth="1"/>
    <col min="5" max="5" width="33.85546875" style="1" bestFit="1" customWidth="1"/>
    <col min="6" max="6" width="21.7109375" style="1" bestFit="1" customWidth="1"/>
    <col min="7" max="7" width="57" style="1" bestFit="1" customWidth="1"/>
    <col min="8" max="8" width="27.140625" style="1" bestFit="1" customWidth="1"/>
    <col min="9" max="9" width="15.85546875" style="1" customWidth="1"/>
    <col min="10" max="10" width="19.85546875" style="1" bestFit="1" customWidth="1"/>
    <col min="11" max="11" width="26.42578125" style="1" bestFit="1" customWidth="1"/>
    <col min="12" max="12" width="24.85546875" style="1" bestFit="1" customWidth="1"/>
    <col min="13" max="13" width="17.42578125" style="1" customWidth="1"/>
    <col min="14" max="14" width="18" style="1" bestFit="1" customWidth="1"/>
    <col min="15" max="15" width="16" style="1" bestFit="1" customWidth="1"/>
    <col min="16" max="16" width="10" style="1" bestFit="1" customWidth="1"/>
    <col min="17" max="19" width="8.42578125" style="1" bestFit="1" customWidth="1"/>
    <col min="20" max="20" width="7.42578125" style="1" bestFit="1" customWidth="1"/>
    <col min="21" max="21" width="9.140625" style="1"/>
    <col min="22" max="22" width="5.140625" style="1" bestFit="1" customWidth="1"/>
    <col min="23" max="23" width="4.85546875" style="1" bestFit="1" customWidth="1"/>
    <col min="24" max="24" width="9.42578125" style="1" bestFit="1" customWidth="1"/>
    <col min="25" max="16384" width="9.140625" style="1"/>
  </cols>
  <sheetData>
    <row r="1" spans="1:24" ht="18.75" x14ac:dyDescent="0.25">
      <c r="A1" s="262" t="s">
        <v>7</v>
      </c>
      <c r="B1" s="263"/>
      <c r="C1" s="263"/>
      <c r="D1" s="10" t="s">
        <v>8</v>
      </c>
      <c r="E1" s="10" t="s">
        <v>9</v>
      </c>
      <c r="F1" s="11" t="s">
        <v>11</v>
      </c>
      <c r="J1" s="231" t="s">
        <v>76</v>
      </c>
      <c r="K1" s="232"/>
      <c r="L1" s="232"/>
      <c r="M1" s="233"/>
      <c r="N1" s="243" t="s">
        <v>130</v>
      </c>
      <c r="O1" s="226"/>
      <c r="P1" s="226"/>
      <c r="V1" s="1" t="s">
        <v>130</v>
      </c>
      <c r="W1" s="2" t="s">
        <v>127</v>
      </c>
      <c r="X1" s="2" t="s">
        <v>121</v>
      </c>
    </row>
    <row r="2" spans="1:24" x14ac:dyDescent="0.25">
      <c r="A2" s="258" t="s">
        <v>2</v>
      </c>
      <c r="B2" s="259"/>
      <c r="C2" s="8" t="s">
        <v>144</v>
      </c>
      <c r="D2" s="9">
        <f>699.00974+2073.51401</f>
        <v>2772.5237499999998</v>
      </c>
      <c r="E2" s="9">
        <f>31.9633+102.2192</f>
        <v>134.1825</v>
      </c>
      <c r="F2" s="22">
        <f>330+172+24.37+489+392.7+30+177+359+230+60+116+78+168</f>
        <v>2626.0699999999997</v>
      </c>
      <c r="J2" s="131" t="s">
        <v>14</v>
      </c>
      <c r="K2" s="28" t="s">
        <v>13</v>
      </c>
      <c r="L2" s="7" t="s">
        <v>15</v>
      </c>
      <c r="M2" s="132" t="s">
        <v>16</v>
      </c>
      <c r="N2" s="31" t="s">
        <v>108</v>
      </c>
      <c r="O2" s="26" t="s">
        <v>109</v>
      </c>
      <c r="P2" s="26" t="s">
        <v>121</v>
      </c>
      <c r="W2" s="2" t="s">
        <v>122</v>
      </c>
      <c r="X2" s="3">
        <f>L45+E12</f>
        <v>72</v>
      </c>
    </row>
    <row r="3" spans="1:24" x14ac:dyDescent="0.25">
      <c r="A3" s="258"/>
      <c r="B3" s="259"/>
      <c r="C3" s="8" t="s">
        <v>103</v>
      </c>
      <c r="D3" s="9">
        <f>247.079+739.469</f>
        <v>986.548</v>
      </c>
      <c r="E3" s="9">
        <f>48.0678+23.96</f>
        <v>72.027799999999999</v>
      </c>
      <c r="F3" s="22">
        <f>90.23+80+36+581</f>
        <v>787.23</v>
      </c>
      <c r="J3" s="109" t="s">
        <v>17</v>
      </c>
      <c r="K3" s="45">
        <v>200</v>
      </c>
      <c r="L3" s="45">
        <v>954</v>
      </c>
      <c r="M3" s="133">
        <f>L3/K3</f>
        <v>4.7699999999999996</v>
      </c>
      <c r="N3" s="31">
        <f>K3*15</f>
        <v>3000</v>
      </c>
      <c r="O3" s="53">
        <f>E12*15</f>
        <v>0</v>
      </c>
      <c r="P3" s="53">
        <f>L45*15</f>
        <v>1080</v>
      </c>
      <c r="W3" s="2" t="s">
        <v>123</v>
      </c>
      <c r="X3" s="3">
        <f>L46+E13</f>
        <v>581.03600000000006</v>
      </c>
    </row>
    <row r="4" spans="1:24" x14ac:dyDescent="0.25">
      <c r="A4" s="258" t="s">
        <v>0</v>
      </c>
      <c r="B4" s="259"/>
      <c r="C4" s="8" t="s">
        <v>145</v>
      </c>
      <c r="D4" s="9">
        <f>1126.6559+440.64</f>
        <v>1567.2959000000001</v>
      </c>
      <c r="E4" s="9">
        <f>26.2831+17.3718</f>
        <v>43.654899999999998</v>
      </c>
      <c r="F4" s="22">
        <f>162</f>
        <v>162</v>
      </c>
      <c r="J4" s="109" t="s">
        <v>18</v>
      </c>
      <c r="K4" s="45">
        <v>150</v>
      </c>
      <c r="L4" s="45">
        <v>8184</v>
      </c>
      <c r="M4" s="134">
        <f>L4/K4</f>
        <v>54.56</v>
      </c>
      <c r="N4" s="31">
        <f>K4*15</f>
        <v>2250</v>
      </c>
      <c r="O4" s="53">
        <f t="shared" ref="O4:O7" si="0">E13*15</f>
        <v>3207.54</v>
      </c>
      <c r="P4" s="53">
        <f>(E13+L46)*15</f>
        <v>8715.5400000000009</v>
      </c>
      <c r="W4" s="2" t="s">
        <v>124</v>
      </c>
      <c r="X4" s="3">
        <f>0.1*L47+E14</f>
        <v>172.1078</v>
      </c>
    </row>
    <row r="5" spans="1:24" x14ac:dyDescent="0.25">
      <c r="A5" s="258"/>
      <c r="B5" s="259"/>
      <c r="C5" s="8" t="s">
        <v>141</v>
      </c>
      <c r="D5" s="9">
        <f>1417.64326+370.649</f>
        <v>1788.2922600000002</v>
      </c>
      <c r="E5" s="9">
        <f>124.8589+13.56</f>
        <v>138.41890000000001</v>
      </c>
      <c r="F5" s="22">
        <f>146+96.5+10.9</f>
        <v>253.4</v>
      </c>
      <c r="J5" s="109" t="s">
        <v>3</v>
      </c>
      <c r="K5" s="45">
        <v>250</v>
      </c>
      <c r="L5" s="45">
        <v>1124</v>
      </c>
      <c r="M5" s="133">
        <f>L5/K5</f>
        <v>4.4960000000000004</v>
      </c>
      <c r="N5" s="31">
        <f>K5*15</f>
        <v>3750</v>
      </c>
      <c r="O5" s="53">
        <f t="shared" si="0"/>
        <v>1080.4169999999999</v>
      </c>
      <c r="P5" s="53">
        <f>(E14+(0.1*L47))*15</f>
        <v>2581.6170000000002</v>
      </c>
      <c r="W5" s="2" t="s">
        <v>125</v>
      </c>
      <c r="X5" s="3">
        <f>0.1*L47+E15</f>
        <v>238.49889999999999</v>
      </c>
    </row>
    <row r="6" spans="1:24" x14ac:dyDescent="0.25">
      <c r="A6" s="258" t="s">
        <v>4</v>
      </c>
      <c r="B6" s="259"/>
      <c r="C6" s="8" t="s">
        <v>146</v>
      </c>
      <c r="D6" s="9">
        <v>3662.6</v>
      </c>
      <c r="E6" s="9">
        <f>9.88</f>
        <v>9.8800000000000008</v>
      </c>
      <c r="F6" s="22">
        <v>424</v>
      </c>
      <c r="J6" s="109" t="s">
        <v>1</v>
      </c>
      <c r="K6" s="45">
        <v>150</v>
      </c>
      <c r="L6" s="45">
        <v>1811</v>
      </c>
      <c r="M6" s="133">
        <f>L6/K6</f>
        <v>12.073333333333334</v>
      </c>
      <c r="N6" s="31">
        <f>K6*15</f>
        <v>2250</v>
      </c>
      <c r="O6" s="53">
        <f t="shared" si="0"/>
        <v>2076.2835</v>
      </c>
      <c r="P6" s="53">
        <f>(E15+(0.1*L47))*15</f>
        <v>3577.4834999999998</v>
      </c>
      <c r="W6" s="2" t="s">
        <v>126</v>
      </c>
      <c r="X6" s="3">
        <f>0.8*L47+S11</f>
        <v>1731.24</v>
      </c>
    </row>
    <row r="7" spans="1:24" ht="15.75" thickBot="1" x14ac:dyDescent="0.3">
      <c r="A7" s="258"/>
      <c r="B7" s="259"/>
      <c r="C7" s="8" t="s">
        <v>101</v>
      </c>
      <c r="D7" s="9">
        <v>0</v>
      </c>
      <c r="E7" s="9">
        <v>0</v>
      </c>
      <c r="F7" s="22">
        <v>428.7</v>
      </c>
      <c r="J7" s="110" t="s">
        <v>22</v>
      </c>
      <c r="K7" s="135">
        <v>700</v>
      </c>
      <c r="L7" s="135">
        <v>7367</v>
      </c>
      <c r="M7" s="136">
        <f>L7/K7</f>
        <v>10.524285714285714</v>
      </c>
      <c r="N7" s="31">
        <f>K7*15</f>
        <v>10500</v>
      </c>
      <c r="O7" s="53">
        <f t="shared" si="0"/>
        <v>2667.5610000000001</v>
      </c>
      <c r="P7" s="53">
        <f>((E16+S11)+0.8*L47)*15</f>
        <v>28636.161</v>
      </c>
    </row>
    <row r="8" spans="1:24" ht="15.75" thickBot="1" x14ac:dyDescent="0.3">
      <c r="A8" s="258"/>
      <c r="B8" s="259"/>
      <c r="C8" s="8" t="s">
        <v>5</v>
      </c>
      <c r="D8" s="9">
        <f>8013.57306+1455.05</f>
        <v>9468.6230599999999</v>
      </c>
      <c r="E8" s="9">
        <f>104.3078+100.1134</f>
        <v>204.4212</v>
      </c>
      <c r="F8" s="22">
        <f>411.6+1043+1025+545</f>
        <v>3024.6</v>
      </c>
    </row>
    <row r="9" spans="1:24" ht="18.75" x14ac:dyDescent="0.25">
      <c r="A9" s="258"/>
      <c r="B9" s="259"/>
      <c r="C9" s="8" t="s">
        <v>10</v>
      </c>
      <c r="D9" s="9">
        <v>0</v>
      </c>
      <c r="E9" s="9">
        <v>0</v>
      </c>
      <c r="F9" s="22">
        <f>779.9+2551+659+402</f>
        <v>4391.8999999999996</v>
      </c>
      <c r="J9" s="234" t="s">
        <v>75</v>
      </c>
      <c r="K9" s="235"/>
      <c r="L9" s="235"/>
      <c r="M9" s="235"/>
      <c r="N9" s="235"/>
      <c r="O9" s="235"/>
      <c r="P9" s="235"/>
      <c r="Q9" s="235"/>
      <c r="R9" s="236"/>
      <c r="S9" s="2" t="s">
        <v>130</v>
      </c>
    </row>
    <row r="10" spans="1:24" x14ac:dyDescent="0.25">
      <c r="A10" s="258"/>
      <c r="B10" s="259"/>
      <c r="C10" s="8" t="s">
        <v>6</v>
      </c>
      <c r="D10" s="9">
        <v>528.1</v>
      </c>
      <c r="E10" s="9">
        <f>9.4148</f>
        <v>9.4147999999999996</v>
      </c>
      <c r="F10" s="22">
        <v>0</v>
      </c>
      <c r="G10" s="226" t="s">
        <v>130</v>
      </c>
      <c r="H10" s="226"/>
      <c r="I10" s="227"/>
      <c r="J10" s="237" t="s">
        <v>19</v>
      </c>
      <c r="K10" s="238"/>
      <c r="L10" s="6">
        <v>2025</v>
      </c>
      <c r="M10" s="6">
        <v>2026</v>
      </c>
      <c r="N10" s="6">
        <v>2027</v>
      </c>
      <c r="O10" s="6">
        <v>2028</v>
      </c>
      <c r="P10" s="6">
        <v>2029</v>
      </c>
      <c r="Q10" s="6">
        <v>2030</v>
      </c>
      <c r="R10" s="137" t="s">
        <v>20</v>
      </c>
      <c r="S10" s="117" t="s">
        <v>120</v>
      </c>
    </row>
    <row r="11" spans="1:24" ht="15.75" thickBot="1" x14ac:dyDescent="0.3">
      <c r="A11" s="260"/>
      <c r="B11" s="261"/>
      <c r="C11" s="12" t="s">
        <v>23</v>
      </c>
      <c r="D11" s="12">
        <v>0</v>
      </c>
      <c r="E11" s="12">
        <v>0</v>
      </c>
      <c r="F11" s="14">
        <v>95.4</v>
      </c>
      <c r="G11" s="5" t="s">
        <v>68</v>
      </c>
      <c r="H11" s="5" t="s">
        <v>69</v>
      </c>
      <c r="J11" s="239" t="s">
        <v>26</v>
      </c>
      <c r="K11" s="240"/>
      <c r="L11" s="40">
        <v>690</v>
      </c>
      <c r="M11" s="40">
        <v>694</v>
      </c>
      <c r="N11" s="40">
        <v>696</v>
      </c>
      <c r="O11" s="40">
        <v>857</v>
      </c>
      <c r="P11" s="40">
        <v>859</v>
      </c>
      <c r="Q11" s="40">
        <v>857</v>
      </c>
      <c r="R11" s="138">
        <f>SUM(L11:Q11)</f>
        <v>4653</v>
      </c>
      <c r="S11" s="118">
        <f>R11/5</f>
        <v>930.6</v>
      </c>
    </row>
    <row r="12" spans="1:24" ht="15.75" thickBot="1" x14ac:dyDescent="0.3">
      <c r="A12" s="244" t="s">
        <v>20</v>
      </c>
      <c r="B12" s="245"/>
      <c r="C12" s="15" t="s">
        <v>139</v>
      </c>
      <c r="D12" s="23">
        <f>D9+D11</f>
        <v>0</v>
      </c>
      <c r="E12" s="23">
        <f t="shared" ref="E12" si="1">E9+E11</f>
        <v>0</v>
      </c>
      <c r="F12" s="24">
        <f>F9+F11</f>
        <v>4487.2999999999993</v>
      </c>
      <c r="G12" s="33">
        <f>D12/K3</f>
        <v>0</v>
      </c>
      <c r="H12" s="3">
        <f>F12/K3</f>
        <v>22.436499999999995</v>
      </c>
      <c r="I12" s="30">
        <f>SUM(G12:H12)</f>
        <v>22.436499999999995</v>
      </c>
      <c r="J12" s="241" t="s">
        <v>21</v>
      </c>
      <c r="K12" s="242"/>
      <c r="L12" s="139">
        <v>1625</v>
      </c>
      <c r="M12" s="139">
        <v>1675</v>
      </c>
      <c r="N12" s="139">
        <v>888</v>
      </c>
      <c r="O12" s="139">
        <v>0</v>
      </c>
      <c r="P12" s="139">
        <v>0</v>
      </c>
      <c r="Q12" s="139">
        <v>0</v>
      </c>
      <c r="R12" s="140">
        <f>SUM(L12:Q12)</f>
        <v>4188</v>
      </c>
      <c r="S12" s="118">
        <f>R12/5</f>
        <v>837.6</v>
      </c>
    </row>
    <row r="13" spans="1:24" x14ac:dyDescent="0.25">
      <c r="A13" s="246"/>
      <c r="B13" s="247"/>
      <c r="C13" s="16" t="s">
        <v>140</v>
      </c>
      <c r="D13" s="17">
        <f>SUM(D8,D10)</f>
        <v>9996.7230600000003</v>
      </c>
      <c r="E13" s="17">
        <f t="shared" ref="E13:F13" si="2">SUM(E8,E10)</f>
        <v>213.83600000000001</v>
      </c>
      <c r="F13" s="18">
        <f t="shared" si="2"/>
        <v>3024.6</v>
      </c>
      <c r="G13" s="3">
        <f>D13/K4</f>
        <v>66.6448204</v>
      </c>
      <c r="H13" s="3">
        <f t="shared" ref="H13:H16" si="3">F13/K4</f>
        <v>20.163999999999998</v>
      </c>
      <c r="I13" s="30">
        <f t="shared" ref="I13:I16" si="4">SUM(G13:H13)</f>
        <v>86.808820400000002</v>
      </c>
    </row>
    <row r="14" spans="1:24" x14ac:dyDescent="0.25">
      <c r="A14" s="246"/>
      <c r="B14" s="247"/>
      <c r="C14" s="16" t="s">
        <v>103</v>
      </c>
      <c r="D14" s="17">
        <f>D3</f>
        <v>986.548</v>
      </c>
      <c r="E14" s="17">
        <f>E3</f>
        <v>72.027799999999999</v>
      </c>
      <c r="F14" s="18">
        <f>F3</f>
        <v>787.23</v>
      </c>
      <c r="G14" s="33">
        <f>D14/K5</f>
        <v>3.9461919999999999</v>
      </c>
      <c r="H14" s="33">
        <f t="shared" si="3"/>
        <v>3.1489199999999999</v>
      </c>
      <c r="I14" s="34">
        <f t="shared" si="4"/>
        <v>7.0951120000000003</v>
      </c>
    </row>
    <row r="15" spans="1:24" x14ac:dyDescent="0.25">
      <c r="A15" s="246"/>
      <c r="B15" s="247"/>
      <c r="C15" s="16" t="s">
        <v>141</v>
      </c>
      <c r="D15" s="17">
        <f>D5</f>
        <v>1788.2922600000002</v>
      </c>
      <c r="E15" s="17">
        <f>E5</f>
        <v>138.41890000000001</v>
      </c>
      <c r="F15" s="18">
        <f>F5</f>
        <v>253.4</v>
      </c>
      <c r="G15" s="33">
        <f>D15/K6</f>
        <v>11.921948400000002</v>
      </c>
      <c r="H15" s="33">
        <f t="shared" si="3"/>
        <v>1.6893333333333334</v>
      </c>
      <c r="I15" s="34">
        <f t="shared" si="4"/>
        <v>13.611281733333335</v>
      </c>
    </row>
    <row r="16" spans="1:24" ht="15.75" thickBot="1" x14ac:dyDescent="0.3">
      <c r="A16" s="248"/>
      <c r="B16" s="249"/>
      <c r="C16" s="19" t="s">
        <v>142</v>
      </c>
      <c r="D16" s="20">
        <f>SUM(D2,D4)</f>
        <v>4339.8196499999995</v>
      </c>
      <c r="E16" s="20">
        <f t="shared" ref="E16:F16" si="5">SUM(E2,E4)</f>
        <v>177.8374</v>
      </c>
      <c r="F16" s="21">
        <f t="shared" si="5"/>
        <v>2788.0699999999997</v>
      </c>
      <c r="G16" s="33">
        <f>D16/K7</f>
        <v>6.1997423571428563</v>
      </c>
      <c r="H16" s="33">
        <f t="shared" si="3"/>
        <v>3.9829571428571424</v>
      </c>
      <c r="I16" s="34">
        <f t="shared" si="4"/>
        <v>10.182699499999998</v>
      </c>
    </row>
    <row r="17" spans="1:20" ht="15.75" thickBot="1" x14ac:dyDescent="0.3"/>
    <row r="18" spans="1:20" ht="19.5" thickBot="1" x14ac:dyDescent="0.3">
      <c r="G18" s="255" t="s">
        <v>128</v>
      </c>
      <c r="H18" s="256"/>
      <c r="I18" s="256"/>
      <c r="J18" s="256"/>
      <c r="K18" s="257"/>
    </row>
    <row r="19" spans="1:20" ht="18.75" x14ac:dyDescent="0.25">
      <c r="A19" s="228" t="s">
        <v>28</v>
      </c>
      <c r="B19" s="229"/>
      <c r="C19" s="229"/>
      <c r="D19" s="229"/>
      <c r="E19" s="230"/>
      <c r="F19" s="1" t="s">
        <v>131</v>
      </c>
      <c r="G19" s="131" t="s">
        <v>106</v>
      </c>
      <c r="H19" s="7" t="s">
        <v>54</v>
      </c>
      <c r="I19" s="218" t="s">
        <v>9</v>
      </c>
      <c r="J19" s="218"/>
      <c r="K19" s="132" t="s">
        <v>107</v>
      </c>
    </row>
    <row r="20" spans="1:20" x14ac:dyDescent="0.25">
      <c r="A20" s="131" t="s">
        <v>29</v>
      </c>
      <c r="B20" s="7" t="s">
        <v>30</v>
      </c>
      <c r="C20" s="7" t="s">
        <v>54</v>
      </c>
      <c r="D20" s="7" t="s">
        <v>62</v>
      </c>
      <c r="E20" s="132" t="s">
        <v>65</v>
      </c>
      <c r="G20" s="197" t="s">
        <v>70</v>
      </c>
      <c r="H20" s="9">
        <v>5571.268</v>
      </c>
      <c r="I20" s="250">
        <v>43.374600000000001</v>
      </c>
      <c r="J20" s="250"/>
      <c r="K20" s="134">
        <f>H20/I20</f>
        <v>128.44540353109883</v>
      </c>
    </row>
    <row r="21" spans="1:20" x14ac:dyDescent="0.25">
      <c r="A21" s="109" t="s">
        <v>24</v>
      </c>
      <c r="B21" s="8" t="s">
        <v>31</v>
      </c>
      <c r="C21" s="8">
        <v>779.9</v>
      </c>
      <c r="D21" s="8"/>
      <c r="E21" s="160">
        <f>C21/$C$26</f>
        <v>0.17380161789940499</v>
      </c>
      <c r="F21" s="32" t="s">
        <v>73</v>
      </c>
      <c r="G21" s="197" t="s">
        <v>22</v>
      </c>
      <c r="H21" s="9">
        <v>959.65589999999997</v>
      </c>
      <c r="I21" s="250">
        <v>29.988299999999999</v>
      </c>
      <c r="J21" s="250"/>
      <c r="K21" s="134">
        <f>H21/I21</f>
        <v>32.001010394053679</v>
      </c>
    </row>
    <row r="22" spans="1:20" x14ac:dyDescent="0.25">
      <c r="A22" s="109" t="s">
        <v>25</v>
      </c>
      <c r="B22" s="8" t="s">
        <v>32</v>
      </c>
      <c r="C22" s="8">
        <v>2551</v>
      </c>
      <c r="D22" s="8" t="s">
        <v>63</v>
      </c>
      <c r="E22" s="160">
        <f>C22/$C$26</f>
        <v>0.56849330332271075</v>
      </c>
      <c r="F22" s="29" t="s">
        <v>73</v>
      </c>
      <c r="G22" s="131" t="s">
        <v>43</v>
      </c>
      <c r="H22" s="7" t="s">
        <v>54</v>
      </c>
      <c r="I22" s="218" t="s">
        <v>9</v>
      </c>
      <c r="J22" s="218"/>
      <c r="K22" s="132" t="s">
        <v>107</v>
      </c>
    </row>
    <row r="23" spans="1:20" x14ac:dyDescent="0.25">
      <c r="A23" s="109" t="s">
        <v>27</v>
      </c>
      <c r="B23" s="8" t="s">
        <v>33</v>
      </c>
      <c r="C23" s="8">
        <v>659</v>
      </c>
      <c r="D23" s="8" t="s">
        <v>63</v>
      </c>
      <c r="E23" s="160">
        <f>C23/$C$26</f>
        <v>0.14685891293205267</v>
      </c>
      <c r="F23" s="29" t="s">
        <v>73</v>
      </c>
      <c r="G23" s="109" t="s">
        <v>70</v>
      </c>
      <c r="H23" s="8">
        <v>2870.9</v>
      </c>
      <c r="I23" s="253">
        <v>36</v>
      </c>
      <c r="J23" s="254"/>
      <c r="K23" s="134">
        <f>H23/I23</f>
        <v>79.74722222222222</v>
      </c>
    </row>
    <row r="24" spans="1:20" ht="15.75" thickBot="1" x14ac:dyDescent="0.3">
      <c r="A24" s="109" t="s">
        <v>67</v>
      </c>
      <c r="B24" s="8" t="s">
        <v>46</v>
      </c>
      <c r="C24" s="8">
        <v>95.4</v>
      </c>
      <c r="D24" s="8"/>
      <c r="E24" s="160">
        <f>C24/$C$26</f>
        <v>2.1260000445702316E-2</v>
      </c>
      <c r="F24" s="29" t="s">
        <v>74</v>
      </c>
      <c r="G24" s="110" t="s">
        <v>1</v>
      </c>
      <c r="H24" s="12">
        <v>53.5</v>
      </c>
      <c r="I24" s="251">
        <v>2.6</v>
      </c>
      <c r="J24" s="252"/>
      <c r="K24" s="141">
        <f>H24/I24</f>
        <v>20.576923076923077</v>
      </c>
    </row>
    <row r="25" spans="1:20" ht="15.75" thickBot="1" x14ac:dyDescent="0.3">
      <c r="A25" s="110" t="s">
        <v>60</v>
      </c>
      <c r="B25" s="12" t="s">
        <v>61</v>
      </c>
      <c r="C25" s="12">
        <f>2+400</f>
        <v>402</v>
      </c>
      <c r="D25" s="12" t="s">
        <v>64</v>
      </c>
      <c r="E25" s="161">
        <f>C25/$C$26</f>
        <v>8.9586165400129245E-2</v>
      </c>
      <c r="F25" s="29" t="s">
        <v>73</v>
      </c>
    </row>
    <row r="26" spans="1:20" x14ac:dyDescent="0.25">
      <c r="B26" s="117" t="s">
        <v>20</v>
      </c>
      <c r="C26" s="166">
        <f>SUM(C21:C25)</f>
        <v>4487.3</v>
      </c>
      <c r="D26" s="2"/>
      <c r="E26" s="2"/>
      <c r="F26" s="29"/>
    </row>
    <row r="27" spans="1:20" ht="15.75" thickBot="1" x14ac:dyDescent="0.3">
      <c r="D27" s="2"/>
      <c r="E27" s="2"/>
      <c r="F27" s="32"/>
    </row>
    <row r="28" spans="1:20" ht="19.5" thickBot="1" x14ac:dyDescent="0.3">
      <c r="A28" s="228" t="s">
        <v>34</v>
      </c>
      <c r="B28" s="229"/>
      <c r="C28" s="229"/>
      <c r="D28" s="229"/>
      <c r="E28" s="230"/>
      <c r="F28" s="32"/>
    </row>
    <row r="29" spans="1:20" ht="18.75" x14ac:dyDescent="0.25">
      <c r="A29" s="131" t="s">
        <v>29</v>
      </c>
      <c r="B29" s="7" t="s">
        <v>30</v>
      </c>
      <c r="C29" s="7" t="s">
        <v>54</v>
      </c>
      <c r="D29" s="7" t="s">
        <v>62</v>
      </c>
      <c r="E29" s="132" t="s">
        <v>65</v>
      </c>
      <c r="F29" s="4"/>
      <c r="G29" s="130" t="s">
        <v>129</v>
      </c>
      <c r="H29" s="10">
        <v>2025</v>
      </c>
      <c r="I29" s="10">
        <v>2026</v>
      </c>
      <c r="J29" s="10">
        <v>2027</v>
      </c>
      <c r="K29" s="10">
        <v>2028</v>
      </c>
      <c r="L29" s="10">
        <v>2029</v>
      </c>
      <c r="M29" s="10">
        <v>2030</v>
      </c>
      <c r="N29" s="10">
        <v>2031</v>
      </c>
      <c r="O29" s="10">
        <v>2032</v>
      </c>
      <c r="P29" s="10">
        <v>2033</v>
      </c>
      <c r="Q29" s="10">
        <v>2034</v>
      </c>
      <c r="R29" s="10">
        <v>2035</v>
      </c>
      <c r="S29" s="10">
        <v>2040</v>
      </c>
      <c r="T29" s="11">
        <v>2050</v>
      </c>
    </row>
    <row r="30" spans="1:20" x14ac:dyDescent="0.25">
      <c r="A30" s="109" t="s">
        <v>35</v>
      </c>
      <c r="B30" s="8" t="s">
        <v>46</v>
      </c>
      <c r="C30" s="8">
        <v>117.97</v>
      </c>
      <c r="D30" s="8"/>
      <c r="E30" s="160" t="s">
        <v>104</v>
      </c>
      <c r="F30" s="29" t="s">
        <v>74</v>
      </c>
      <c r="G30" s="142" t="s">
        <v>139</v>
      </c>
      <c r="H30" s="37" t="s">
        <v>66</v>
      </c>
      <c r="I30" s="37" t="s">
        <v>66</v>
      </c>
      <c r="J30" s="37" t="s">
        <v>66</v>
      </c>
      <c r="K30" s="37" t="s">
        <v>66</v>
      </c>
      <c r="L30" s="37" t="s">
        <v>66</v>
      </c>
      <c r="M30" s="37" t="s">
        <v>66</v>
      </c>
      <c r="N30" s="37" t="s">
        <v>66</v>
      </c>
      <c r="O30" s="37" t="s">
        <v>66</v>
      </c>
      <c r="P30" s="37" t="s">
        <v>66</v>
      </c>
      <c r="Q30" s="37" t="s">
        <v>66</v>
      </c>
      <c r="R30" s="37" t="s">
        <v>66</v>
      </c>
      <c r="S30" s="37" t="s">
        <v>66</v>
      </c>
      <c r="T30" s="143" t="s">
        <v>66</v>
      </c>
    </row>
    <row r="31" spans="1:20" x14ac:dyDescent="0.25">
      <c r="A31" s="109" t="s">
        <v>36</v>
      </c>
      <c r="B31" s="8" t="s">
        <v>47</v>
      </c>
      <c r="C31" s="8">
        <v>176</v>
      </c>
      <c r="D31" s="8"/>
      <c r="E31" s="160">
        <f t="shared" ref="E31:E41" si="6">C31/$C$42</f>
        <v>1.6929892735104646E-2</v>
      </c>
      <c r="F31" s="29" t="s">
        <v>74</v>
      </c>
      <c r="G31" s="131" t="s">
        <v>140</v>
      </c>
      <c r="H31" s="9">
        <f>D13</f>
        <v>9996.7230600000003</v>
      </c>
      <c r="I31" s="9">
        <f>H31-$K$4</f>
        <v>9846.7230600000003</v>
      </c>
      <c r="J31" s="9">
        <f t="shared" ref="J31:R31" si="7">I31-$K$4</f>
        <v>9696.7230600000003</v>
      </c>
      <c r="K31" s="9">
        <f t="shared" si="7"/>
        <v>9546.7230600000003</v>
      </c>
      <c r="L31" s="9">
        <f t="shared" si="7"/>
        <v>9396.7230600000003</v>
      </c>
      <c r="M31" s="9">
        <f t="shared" si="7"/>
        <v>9246.7230600000003</v>
      </c>
      <c r="N31" s="9">
        <f t="shared" si="7"/>
        <v>9096.7230600000003</v>
      </c>
      <c r="O31" s="9">
        <f t="shared" si="7"/>
        <v>8946.7230600000003</v>
      </c>
      <c r="P31" s="9">
        <f t="shared" si="7"/>
        <v>8796.7230600000003</v>
      </c>
      <c r="Q31" s="9">
        <f t="shared" si="7"/>
        <v>8646.7230600000003</v>
      </c>
      <c r="R31" s="9">
        <f t="shared" si="7"/>
        <v>8496.7230600000003</v>
      </c>
      <c r="S31" s="9">
        <f>R31-5*K4</f>
        <v>7746.7230600000003</v>
      </c>
      <c r="T31" s="22">
        <f>S31-10*K4</f>
        <v>6246.7230600000003</v>
      </c>
    </row>
    <row r="32" spans="1:20" x14ac:dyDescent="0.25">
      <c r="A32" s="109" t="s">
        <v>37</v>
      </c>
      <c r="B32" s="8" t="s">
        <v>48</v>
      </c>
      <c r="C32" s="8">
        <v>315.12</v>
      </c>
      <c r="D32" s="8"/>
      <c r="E32" s="160">
        <f t="shared" si="6"/>
        <v>3.0312203401625999E-2</v>
      </c>
      <c r="F32" s="29" t="s">
        <v>74</v>
      </c>
      <c r="G32" s="131" t="s">
        <v>103</v>
      </c>
      <c r="H32" s="37">
        <f>D14</f>
        <v>986.548</v>
      </c>
      <c r="I32" s="37">
        <f>H32-$K$5</f>
        <v>736.548</v>
      </c>
      <c r="J32" s="37">
        <f t="shared" ref="J32:K32" si="8">I32-$K$5</f>
        <v>486.548</v>
      </c>
      <c r="K32" s="37">
        <f t="shared" si="8"/>
        <v>236.548</v>
      </c>
      <c r="L32" s="37" t="s">
        <v>66</v>
      </c>
      <c r="M32" s="37" t="s">
        <v>66</v>
      </c>
      <c r="N32" s="37" t="s">
        <v>66</v>
      </c>
      <c r="O32" s="37" t="s">
        <v>66</v>
      </c>
      <c r="P32" s="37" t="s">
        <v>66</v>
      </c>
      <c r="Q32" s="37" t="s">
        <v>66</v>
      </c>
      <c r="R32" s="37" t="s">
        <v>66</v>
      </c>
      <c r="S32" s="37" t="s">
        <v>66</v>
      </c>
      <c r="T32" s="143" t="s">
        <v>66</v>
      </c>
    </row>
    <row r="33" spans="1:20" x14ac:dyDescent="0.25">
      <c r="A33" s="109" t="s">
        <v>38</v>
      </c>
      <c r="B33" s="8" t="s">
        <v>32</v>
      </c>
      <c r="C33" s="8">
        <v>411.95800000000003</v>
      </c>
      <c r="D33" s="8"/>
      <c r="E33" s="160">
        <f t="shared" si="6"/>
        <v>3.9627299723683181E-2</v>
      </c>
      <c r="F33" s="29" t="s">
        <v>74</v>
      </c>
      <c r="G33" s="131" t="s">
        <v>141</v>
      </c>
      <c r="H33" s="37">
        <f>D15</f>
        <v>1788.2922600000002</v>
      </c>
      <c r="I33" s="37">
        <f>H33-$K$6</f>
        <v>1638.2922600000002</v>
      </c>
      <c r="J33" s="37">
        <f t="shared" ref="J33:R33" si="9">I33-$K$6</f>
        <v>1488.2922600000002</v>
      </c>
      <c r="K33" s="37">
        <f t="shared" si="9"/>
        <v>1338.2922600000002</v>
      </c>
      <c r="L33" s="37">
        <f t="shared" si="9"/>
        <v>1188.2922600000002</v>
      </c>
      <c r="M33" s="37">
        <f t="shared" si="9"/>
        <v>1038.2922600000002</v>
      </c>
      <c r="N33" s="37">
        <f t="shared" si="9"/>
        <v>888.29226000000017</v>
      </c>
      <c r="O33" s="37">
        <f t="shared" si="9"/>
        <v>738.29226000000017</v>
      </c>
      <c r="P33" s="37">
        <f t="shared" si="9"/>
        <v>588.29226000000017</v>
      </c>
      <c r="Q33" s="37">
        <f t="shared" si="9"/>
        <v>438.29226000000017</v>
      </c>
      <c r="R33" s="37">
        <f t="shared" si="9"/>
        <v>288.29226000000017</v>
      </c>
      <c r="S33" s="37" t="s">
        <v>66</v>
      </c>
      <c r="T33" s="143" t="s">
        <v>66</v>
      </c>
    </row>
    <row r="34" spans="1:20" ht="15.75" thickBot="1" x14ac:dyDescent="0.3">
      <c r="A34" s="131" t="s">
        <v>39</v>
      </c>
      <c r="B34" s="7" t="s">
        <v>49</v>
      </c>
      <c r="C34" s="7">
        <v>312.56799999999998</v>
      </c>
      <c r="D34" s="7"/>
      <c r="E34" s="162">
        <f t="shared" si="6"/>
        <v>3.006671995696698E-2</v>
      </c>
      <c r="F34" s="29" t="s">
        <v>73</v>
      </c>
      <c r="G34" s="144" t="s">
        <v>142</v>
      </c>
      <c r="H34" s="145">
        <f>D16</f>
        <v>4339.8196499999995</v>
      </c>
      <c r="I34" s="145">
        <f>H34-$K$7</f>
        <v>3639.8196499999995</v>
      </c>
      <c r="J34" s="145">
        <f t="shared" ref="J34:N34" si="10">I34-$K$7</f>
        <v>2939.8196499999995</v>
      </c>
      <c r="K34" s="145">
        <f>J34-$K$7</f>
        <v>2239.8196499999995</v>
      </c>
      <c r="L34" s="145">
        <f t="shared" si="10"/>
        <v>1539.8196499999995</v>
      </c>
      <c r="M34" s="145">
        <f t="shared" si="10"/>
        <v>839.81964999999946</v>
      </c>
      <c r="N34" s="145">
        <f t="shared" si="10"/>
        <v>139.81964999999946</v>
      </c>
      <c r="O34" s="145" t="s">
        <v>66</v>
      </c>
      <c r="P34" s="145" t="s">
        <v>66</v>
      </c>
      <c r="Q34" s="145" t="s">
        <v>66</v>
      </c>
      <c r="R34" s="145" t="s">
        <v>66</v>
      </c>
      <c r="S34" s="145" t="s">
        <v>66</v>
      </c>
      <c r="T34" s="146" t="s">
        <v>66</v>
      </c>
    </row>
    <row r="35" spans="1:20" ht="15.75" thickBot="1" x14ac:dyDescent="0.3">
      <c r="A35" s="131" t="s">
        <v>53</v>
      </c>
      <c r="B35" s="7" t="s">
        <v>49</v>
      </c>
      <c r="C35" s="7">
        <v>157.50005999999999</v>
      </c>
      <c r="D35" s="7"/>
      <c r="E35" s="162">
        <f t="shared" si="6"/>
        <v>1.5150335918025828E-2</v>
      </c>
      <c r="F35" s="29" t="s">
        <v>73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8.75" x14ac:dyDescent="0.25">
      <c r="A36" s="131" t="s">
        <v>41</v>
      </c>
      <c r="B36" s="7" t="s">
        <v>49</v>
      </c>
      <c r="C36" s="7">
        <v>5101.2</v>
      </c>
      <c r="D36" s="7"/>
      <c r="E36" s="162">
        <f t="shared" si="6"/>
        <v>0.49069755011543076</v>
      </c>
      <c r="F36" s="29" t="s">
        <v>73</v>
      </c>
      <c r="G36" s="147" t="s">
        <v>134</v>
      </c>
      <c r="H36" s="10">
        <v>2025</v>
      </c>
      <c r="I36" s="10">
        <v>2026</v>
      </c>
      <c r="J36" s="10">
        <v>2027</v>
      </c>
      <c r="K36" s="10">
        <v>2028</v>
      </c>
      <c r="L36" s="10">
        <v>2029</v>
      </c>
      <c r="M36" s="10">
        <v>2030</v>
      </c>
      <c r="N36" s="10">
        <v>2031</v>
      </c>
      <c r="O36" s="10">
        <v>2032</v>
      </c>
      <c r="P36" s="10">
        <v>2033</v>
      </c>
      <c r="Q36" s="10">
        <v>2034</v>
      </c>
      <c r="R36" s="10">
        <v>2035</v>
      </c>
      <c r="S36" s="10">
        <v>2040</v>
      </c>
      <c r="T36" s="11">
        <v>2050</v>
      </c>
    </row>
    <row r="37" spans="1:20" x14ac:dyDescent="0.25">
      <c r="A37" s="109" t="s">
        <v>40</v>
      </c>
      <c r="B37" s="8" t="s">
        <v>50</v>
      </c>
      <c r="C37" s="8">
        <v>318.10000000000002</v>
      </c>
      <c r="D37" s="8"/>
      <c r="E37" s="160">
        <f t="shared" si="6"/>
        <v>3.0598857267254479E-2</v>
      </c>
      <c r="F37" s="29" t="s">
        <v>74</v>
      </c>
      <c r="G37" s="142" t="s">
        <v>139</v>
      </c>
      <c r="H37" s="37" t="s">
        <v>66</v>
      </c>
      <c r="I37" s="37" t="s">
        <v>66</v>
      </c>
      <c r="J37" s="37" t="s">
        <v>66</v>
      </c>
      <c r="K37" s="9">
        <f>F12</f>
        <v>4487.2999999999993</v>
      </c>
      <c r="L37" s="9">
        <f>K37-$K$3</f>
        <v>4287.2999999999993</v>
      </c>
      <c r="M37" s="9">
        <f t="shared" ref="M37:R37" si="11">L37-$K$3</f>
        <v>4087.2999999999993</v>
      </c>
      <c r="N37" s="9">
        <f t="shared" si="11"/>
        <v>3887.2999999999993</v>
      </c>
      <c r="O37" s="9">
        <f t="shared" si="11"/>
        <v>3687.2999999999993</v>
      </c>
      <c r="P37" s="9">
        <f t="shared" si="11"/>
        <v>3487.2999999999993</v>
      </c>
      <c r="Q37" s="9">
        <f t="shared" si="11"/>
        <v>3287.2999999999993</v>
      </c>
      <c r="R37" s="37">
        <f t="shared" si="11"/>
        <v>3087.2999999999993</v>
      </c>
      <c r="S37" s="37">
        <f>R37-5*K3</f>
        <v>2087.2999999999993</v>
      </c>
      <c r="T37" s="143">
        <f>S37-10*K3</f>
        <v>87.299999999999272</v>
      </c>
    </row>
    <row r="38" spans="1:20" x14ac:dyDescent="0.25">
      <c r="A38" s="109" t="s">
        <v>43</v>
      </c>
      <c r="B38" s="8" t="s">
        <v>51</v>
      </c>
      <c r="C38" s="8">
        <v>391.7</v>
      </c>
      <c r="D38" s="8"/>
      <c r="E38" s="160">
        <f t="shared" si="6"/>
        <v>3.7678630592843688E-2</v>
      </c>
      <c r="F38" s="29" t="s">
        <v>73</v>
      </c>
      <c r="G38" s="131" t="s">
        <v>140</v>
      </c>
      <c r="H38" s="9">
        <f>D13</f>
        <v>9996.7230600000003</v>
      </c>
      <c r="I38" s="9">
        <f>H38-$K$4</f>
        <v>9846.7230600000003</v>
      </c>
      <c r="J38" s="9">
        <f>I38-$K$4</f>
        <v>9696.7230600000003</v>
      </c>
      <c r="K38" s="9">
        <f>J38+F13-K4</f>
        <v>12571.323060000001</v>
      </c>
      <c r="L38" s="9">
        <f>K38-$K$4</f>
        <v>12421.323060000001</v>
      </c>
      <c r="M38" s="9">
        <f t="shared" ref="M38:R38" si="12">L38-$K$4</f>
        <v>12271.323060000001</v>
      </c>
      <c r="N38" s="9">
        <f t="shared" si="12"/>
        <v>12121.323060000001</v>
      </c>
      <c r="O38" s="9">
        <f t="shared" si="12"/>
        <v>11971.323060000001</v>
      </c>
      <c r="P38" s="9">
        <f t="shared" si="12"/>
        <v>11821.323060000001</v>
      </c>
      <c r="Q38" s="9">
        <f t="shared" si="12"/>
        <v>11671.323060000001</v>
      </c>
      <c r="R38" s="9">
        <f t="shared" si="12"/>
        <v>11521.323060000001</v>
      </c>
      <c r="S38" s="9">
        <f>R38-5*K4</f>
        <v>10771.323060000001</v>
      </c>
      <c r="T38" s="22">
        <f>S38-10*K4</f>
        <v>9271.3230600000006</v>
      </c>
    </row>
    <row r="39" spans="1:20" x14ac:dyDescent="0.25">
      <c r="A39" s="109" t="s">
        <v>42</v>
      </c>
      <c r="B39" s="8" t="s">
        <v>31</v>
      </c>
      <c r="C39" s="8">
        <v>518.64700000000005</v>
      </c>
      <c r="D39" s="8"/>
      <c r="E39" s="160">
        <f t="shared" si="6"/>
        <v>4.988998907604443E-2</v>
      </c>
      <c r="F39" s="29" t="s">
        <v>73</v>
      </c>
      <c r="G39" s="131" t="s">
        <v>103</v>
      </c>
      <c r="H39" s="37">
        <f>D14</f>
        <v>986.548</v>
      </c>
      <c r="I39" s="37">
        <f>H39-$K$5</f>
        <v>736.548</v>
      </c>
      <c r="J39" s="37">
        <f>I39+F14-K5</f>
        <v>1273.778</v>
      </c>
      <c r="K39" s="37">
        <f>J39-$K$5</f>
        <v>1023.778</v>
      </c>
      <c r="L39" s="37">
        <f t="shared" ref="L39:O39" si="13">K39-$K$5</f>
        <v>773.77800000000002</v>
      </c>
      <c r="M39" s="37">
        <f t="shared" si="13"/>
        <v>523.77800000000002</v>
      </c>
      <c r="N39" s="37">
        <f t="shared" si="13"/>
        <v>273.77800000000002</v>
      </c>
      <c r="O39" s="37">
        <f t="shared" si="13"/>
        <v>23.77800000000002</v>
      </c>
      <c r="P39" s="37" t="s">
        <v>66</v>
      </c>
      <c r="Q39" s="37" t="s">
        <v>66</v>
      </c>
      <c r="R39" s="37" t="s">
        <v>66</v>
      </c>
      <c r="S39" s="37" t="s">
        <v>66</v>
      </c>
      <c r="T39" s="143" t="s">
        <v>66</v>
      </c>
    </row>
    <row r="40" spans="1:20" x14ac:dyDescent="0.25">
      <c r="A40" s="109" t="s">
        <v>45</v>
      </c>
      <c r="B40" s="8" t="s">
        <v>52</v>
      </c>
      <c r="C40" s="8">
        <v>1455.05</v>
      </c>
      <c r="D40" s="8"/>
      <c r="E40" s="160">
        <f t="shared" si="6"/>
        <v>0.1399650024103069</v>
      </c>
      <c r="F40" s="29" t="s">
        <v>73</v>
      </c>
      <c r="G40" s="131" t="s">
        <v>141</v>
      </c>
      <c r="H40" s="37">
        <f>D15</f>
        <v>1788.2922600000002</v>
      </c>
      <c r="I40" s="37">
        <f>H40-K6</f>
        <v>1638.2922600000002</v>
      </c>
      <c r="J40" s="37">
        <f>I40+F15-K6</f>
        <v>1741.6922600000003</v>
      </c>
      <c r="K40" s="37">
        <f>J40-$K$6</f>
        <v>1591.6922600000003</v>
      </c>
      <c r="L40" s="37">
        <f t="shared" ref="L40:R40" si="14">K40-$K$6</f>
        <v>1441.6922600000003</v>
      </c>
      <c r="M40" s="37">
        <f t="shared" si="14"/>
        <v>1291.6922600000003</v>
      </c>
      <c r="N40" s="37">
        <f t="shared" si="14"/>
        <v>1141.6922600000003</v>
      </c>
      <c r="O40" s="37">
        <f t="shared" si="14"/>
        <v>991.69226000000026</v>
      </c>
      <c r="P40" s="37">
        <f t="shared" si="14"/>
        <v>841.69226000000026</v>
      </c>
      <c r="Q40" s="37">
        <f t="shared" si="14"/>
        <v>691.69226000000026</v>
      </c>
      <c r="R40" s="37">
        <f t="shared" si="14"/>
        <v>541.69226000000026</v>
      </c>
      <c r="S40" s="37" t="s">
        <v>66</v>
      </c>
      <c r="T40" s="143" t="s">
        <v>66</v>
      </c>
    </row>
    <row r="41" spans="1:20" ht="15.75" thickBot="1" x14ac:dyDescent="0.3">
      <c r="A41" s="110" t="s">
        <v>44</v>
      </c>
      <c r="B41" s="12" t="s">
        <v>51</v>
      </c>
      <c r="C41" s="12">
        <v>1120</v>
      </c>
      <c r="D41" s="12"/>
      <c r="E41" s="161">
        <f t="shared" si="6"/>
        <v>0.10773568104157502</v>
      </c>
      <c r="F41" s="29" t="s">
        <v>73</v>
      </c>
      <c r="G41" s="144" t="s">
        <v>142</v>
      </c>
      <c r="H41" s="145">
        <f>D16</f>
        <v>4339.8196499999995</v>
      </c>
      <c r="I41" s="145">
        <f>H41-K7</f>
        <v>3639.8196499999995</v>
      </c>
      <c r="J41" s="145">
        <f>I41+F16-K7</f>
        <v>5727.8896499999992</v>
      </c>
      <c r="K41" s="145">
        <f>J41+C66-K7</f>
        <v>5880.589649999999</v>
      </c>
      <c r="L41" s="145">
        <f>K41-$K$7</f>
        <v>5180.589649999999</v>
      </c>
      <c r="M41" s="145">
        <f t="shared" ref="M41:R41" si="15">L41-$K$7</f>
        <v>4480.589649999999</v>
      </c>
      <c r="N41" s="145">
        <f t="shared" si="15"/>
        <v>3780.589649999999</v>
      </c>
      <c r="O41" s="145">
        <f t="shared" si="15"/>
        <v>3080.589649999999</v>
      </c>
      <c r="P41" s="145">
        <f t="shared" si="15"/>
        <v>2380.589649999999</v>
      </c>
      <c r="Q41" s="145">
        <f t="shared" si="15"/>
        <v>1680.589649999999</v>
      </c>
      <c r="R41" s="145">
        <f t="shared" si="15"/>
        <v>980.58964999999898</v>
      </c>
      <c r="S41" s="145" t="s">
        <v>66</v>
      </c>
      <c r="T41" s="146" t="s">
        <v>66</v>
      </c>
    </row>
    <row r="42" spans="1:20" ht="15.75" thickBot="1" x14ac:dyDescent="0.3">
      <c r="B42" s="117" t="s">
        <v>20</v>
      </c>
      <c r="C42" s="166">
        <f>SUM(C30:C41)</f>
        <v>10395.81306</v>
      </c>
      <c r="D42" s="2"/>
      <c r="E42" s="2"/>
      <c r="F42" s="29"/>
    </row>
    <row r="43" spans="1:20" ht="18.75" x14ac:dyDescent="0.25">
      <c r="D43" s="2"/>
      <c r="E43" s="2"/>
      <c r="F43" s="32"/>
      <c r="G43" s="228" t="s">
        <v>95</v>
      </c>
      <c r="H43" s="229"/>
      <c r="I43" s="229"/>
      <c r="J43" s="229"/>
      <c r="K43" s="230"/>
      <c r="L43" s="2" t="s">
        <v>130</v>
      </c>
    </row>
    <row r="44" spans="1:20" ht="15.75" thickBot="1" x14ac:dyDescent="0.3">
      <c r="D44" s="2"/>
      <c r="E44" s="2"/>
      <c r="F44" s="32"/>
      <c r="G44" s="148" t="s">
        <v>96</v>
      </c>
      <c r="H44" s="7">
        <v>2025</v>
      </c>
      <c r="I44" s="7">
        <v>2026</v>
      </c>
      <c r="J44" s="7">
        <v>2027</v>
      </c>
      <c r="K44" s="132" t="s">
        <v>20</v>
      </c>
      <c r="L44" s="117" t="s">
        <v>120</v>
      </c>
    </row>
    <row r="45" spans="1:20" ht="18.75" x14ac:dyDescent="0.25">
      <c r="A45" s="228" t="s">
        <v>55</v>
      </c>
      <c r="B45" s="229"/>
      <c r="C45" s="229"/>
      <c r="D45" s="229"/>
      <c r="E45" s="230"/>
      <c r="F45" s="95"/>
      <c r="G45" s="131" t="s">
        <v>139</v>
      </c>
      <c r="H45" s="45">
        <v>120</v>
      </c>
      <c r="I45" s="45">
        <v>120</v>
      </c>
      <c r="J45" s="45">
        <v>120</v>
      </c>
      <c r="K45" s="134">
        <f>SUM(H45:J45)</f>
        <v>360</v>
      </c>
      <c r="L45" s="118">
        <f>K45/5</f>
        <v>72</v>
      </c>
    </row>
    <row r="46" spans="1:20" x14ac:dyDescent="0.25">
      <c r="A46" s="131" t="s">
        <v>29</v>
      </c>
      <c r="B46" s="7" t="s">
        <v>30</v>
      </c>
      <c r="C46" s="7" t="s">
        <v>54</v>
      </c>
      <c r="D46" s="7" t="s">
        <v>62</v>
      </c>
      <c r="E46" s="132" t="s">
        <v>65</v>
      </c>
      <c r="F46" s="4"/>
      <c r="G46" s="131" t="s">
        <v>140</v>
      </c>
      <c r="H46" s="45">
        <v>612</v>
      </c>
      <c r="I46" s="45">
        <v>612</v>
      </c>
      <c r="J46" s="45">
        <v>612</v>
      </c>
      <c r="K46" s="134">
        <f t="shared" ref="K46:K47" si="16">SUM(H46:J46)</f>
        <v>1836</v>
      </c>
      <c r="L46" s="118">
        <f t="shared" ref="L46:L47" si="17">K46/5</f>
        <v>367.2</v>
      </c>
    </row>
    <row r="47" spans="1:20" ht="15.75" thickBot="1" x14ac:dyDescent="0.3">
      <c r="A47" s="109" t="s">
        <v>57</v>
      </c>
      <c r="B47" s="8" t="s">
        <v>58</v>
      </c>
      <c r="C47" s="8">
        <v>1043</v>
      </c>
      <c r="D47" s="8"/>
      <c r="E47" s="160">
        <f>C47/$C$51</f>
        <v>0.34483898697348409</v>
      </c>
      <c r="F47" s="32" t="s">
        <v>73</v>
      </c>
      <c r="G47" s="144" t="s">
        <v>143</v>
      </c>
      <c r="H47" s="135">
        <v>1668</v>
      </c>
      <c r="I47" s="135">
        <v>1668</v>
      </c>
      <c r="J47" s="135">
        <v>1668</v>
      </c>
      <c r="K47" s="141">
        <f t="shared" si="16"/>
        <v>5004</v>
      </c>
      <c r="L47" s="118">
        <f t="shared" si="17"/>
        <v>1000.8</v>
      </c>
    </row>
    <row r="48" spans="1:20" ht="15.75" thickBot="1" x14ac:dyDescent="0.3">
      <c r="A48" s="109" t="s">
        <v>56</v>
      </c>
      <c r="B48" s="8" t="s">
        <v>59</v>
      </c>
      <c r="C48" s="8">
        <v>1025</v>
      </c>
      <c r="D48" s="8"/>
      <c r="E48" s="160">
        <f>C48/$C$51</f>
        <v>0.33888778681478543</v>
      </c>
      <c r="F48" s="32" t="s">
        <v>73</v>
      </c>
      <c r="I48" s="51"/>
    </row>
    <row r="49" spans="1:20" ht="18.75" x14ac:dyDescent="0.25">
      <c r="A49" s="109" t="s">
        <v>24</v>
      </c>
      <c r="B49" s="8" t="s">
        <v>31</v>
      </c>
      <c r="C49" s="8">
        <v>411.6</v>
      </c>
      <c r="D49" s="8"/>
      <c r="E49" s="160">
        <f>C49/$C$51</f>
        <v>0.13608411029557629</v>
      </c>
      <c r="F49" s="32" t="s">
        <v>73</v>
      </c>
      <c r="G49" s="147" t="s">
        <v>105</v>
      </c>
      <c r="H49" s="10">
        <v>2025</v>
      </c>
      <c r="I49" s="10">
        <v>2026</v>
      </c>
      <c r="J49" s="10">
        <v>2027</v>
      </c>
      <c r="K49" s="10">
        <v>2028</v>
      </c>
      <c r="L49" s="10">
        <v>2029</v>
      </c>
      <c r="M49" s="10">
        <v>2030</v>
      </c>
      <c r="N49" s="10">
        <v>2031</v>
      </c>
      <c r="O49" s="10">
        <v>2032</v>
      </c>
      <c r="P49" s="10">
        <v>2033</v>
      </c>
      <c r="Q49" s="10">
        <v>2034</v>
      </c>
      <c r="R49" s="10">
        <v>2035</v>
      </c>
      <c r="S49" s="10">
        <v>2040</v>
      </c>
      <c r="T49" s="11">
        <v>2050</v>
      </c>
    </row>
    <row r="50" spans="1:20" ht="15.75" thickBot="1" x14ac:dyDescent="0.3">
      <c r="A50" s="110" t="s">
        <v>38</v>
      </c>
      <c r="B50" s="12" t="s">
        <v>32</v>
      </c>
      <c r="C50" s="12">
        <v>545</v>
      </c>
      <c r="D50" s="12"/>
      <c r="E50" s="161">
        <f>C50/$C$51</f>
        <v>0.18018911591615422</v>
      </c>
      <c r="F50" s="32" t="s">
        <v>74</v>
      </c>
      <c r="G50" s="142" t="s">
        <v>139</v>
      </c>
      <c r="H50" s="37" t="s">
        <v>66</v>
      </c>
      <c r="I50" s="37" t="s">
        <v>66</v>
      </c>
      <c r="J50" s="37" t="s">
        <v>66</v>
      </c>
      <c r="K50" s="37" t="s">
        <v>66</v>
      </c>
      <c r="L50" s="37" t="s">
        <v>66</v>
      </c>
      <c r="M50" s="37" t="s">
        <v>66</v>
      </c>
      <c r="N50" s="37" t="s">
        <v>66</v>
      </c>
      <c r="O50" s="37" t="s">
        <v>66</v>
      </c>
      <c r="P50" s="37" t="s">
        <v>66</v>
      </c>
      <c r="Q50" s="37" t="s">
        <v>66</v>
      </c>
      <c r="R50" s="37" t="s">
        <v>66</v>
      </c>
      <c r="S50" s="37" t="s">
        <v>66</v>
      </c>
      <c r="T50" s="143" t="s">
        <v>66</v>
      </c>
    </row>
    <row r="51" spans="1:20" x14ac:dyDescent="0.25">
      <c r="B51" s="117" t="s">
        <v>20</v>
      </c>
      <c r="C51" s="166">
        <f>SUM(C47:C50)</f>
        <v>3024.6</v>
      </c>
      <c r="D51" s="2"/>
      <c r="F51" s="32"/>
      <c r="G51" s="131" t="s">
        <v>140</v>
      </c>
      <c r="H51" s="9">
        <f>H31</f>
        <v>9996.7230600000003</v>
      </c>
      <c r="I51" s="9">
        <f>H51-H46-$E$13</f>
        <v>9170.8870600000009</v>
      </c>
      <c r="J51" s="9">
        <f>I51-I46-$E$13</f>
        <v>8345.0510600000016</v>
      </c>
      <c r="K51" s="9">
        <f>J51-$E$13-J46</f>
        <v>7519.2150600000014</v>
      </c>
      <c r="L51" s="9">
        <f t="shared" ref="L51:R51" si="18">K51-$E$13</f>
        <v>7305.3790600000011</v>
      </c>
      <c r="M51" s="9">
        <f t="shared" si="18"/>
        <v>7091.5430600000009</v>
      </c>
      <c r="N51" s="9">
        <f t="shared" si="18"/>
        <v>6877.7070600000006</v>
      </c>
      <c r="O51" s="9">
        <f t="shared" si="18"/>
        <v>6663.8710600000004</v>
      </c>
      <c r="P51" s="9">
        <f t="shared" si="18"/>
        <v>6450.0350600000002</v>
      </c>
      <c r="Q51" s="9">
        <f t="shared" si="18"/>
        <v>6236.1990599999999</v>
      </c>
      <c r="R51" s="9">
        <f t="shared" si="18"/>
        <v>6022.3630599999997</v>
      </c>
      <c r="S51" s="9">
        <f>R51-5*E13</f>
        <v>4953.1830599999994</v>
      </c>
      <c r="T51" s="143">
        <f>S51-10*E13</f>
        <v>2814.8230599999993</v>
      </c>
    </row>
    <row r="52" spans="1:20" x14ac:dyDescent="0.25">
      <c r="G52" s="131" t="s">
        <v>103</v>
      </c>
      <c r="H52" s="37">
        <f>H32</f>
        <v>986.548</v>
      </c>
      <c r="I52" s="37">
        <f>H52-H47*0.1-$E$14</f>
        <v>747.72020000000009</v>
      </c>
      <c r="J52" s="37">
        <f>I52-I47*0.1-$E$14</f>
        <v>508.89240000000001</v>
      </c>
      <c r="K52" s="37">
        <f>J52-$E$14-J47*0.1</f>
        <v>270.06459999999998</v>
      </c>
      <c r="L52" s="37">
        <f t="shared" ref="L52:N52" si="19">K52-$E$14</f>
        <v>198.03679999999997</v>
      </c>
      <c r="M52" s="37">
        <f t="shared" si="19"/>
        <v>126.00899999999997</v>
      </c>
      <c r="N52" s="37">
        <f t="shared" si="19"/>
        <v>53.981199999999973</v>
      </c>
      <c r="O52" s="37" t="s">
        <v>66</v>
      </c>
      <c r="P52" s="37" t="s">
        <v>66</v>
      </c>
      <c r="Q52" s="37" t="s">
        <v>66</v>
      </c>
      <c r="R52" s="37" t="s">
        <v>66</v>
      </c>
      <c r="S52" s="37" t="s">
        <v>66</v>
      </c>
      <c r="T52" s="143" t="s">
        <v>66</v>
      </c>
    </row>
    <row r="53" spans="1:20" ht="15.75" thickBot="1" x14ac:dyDescent="0.3">
      <c r="G53" s="131" t="s">
        <v>141</v>
      </c>
      <c r="H53" s="37">
        <f>H33</f>
        <v>1788.2922600000002</v>
      </c>
      <c r="I53" s="37">
        <f>H53-H47*0.1-$E$15</f>
        <v>1483.0733600000003</v>
      </c>
      <c r="J53" s="37">
        <f>I53-I47*0.1-$E$15</f>
        <v>1177.8544600000005</v>
      </c>
      <c r="K53" s="37">
        <f>J53-$E$15-0.1*J47</f>
        <v>872.6355600000004</v>
      </c>
      <c r="L53" s="37">
        <f t="shared" ref="L53:Q53" si="20">K53-$E$15</f>
        <v>734.21666000000039</v>
      </c>
      <c r="M53" s="37">
        <f t="shared" si="20"/>
        <v>595.79776000000038</v>
      </c>
      <c r="N53" s="37">
        <f t="shared" si="20"/>
        <v>457.37886000000037</v>
      </c>
      <c r="O53" s="37">
        <f t="shared" si="20"/>
        <v>318.95996000000036</v>
      </c>
      <c r="P53" s="37">
        <f t="shared" si="20"/>
        <v>180.54106000000036</v>
      </c>
      <c r="Q53" s="37">
        <f t="shared" si="20"/>
        <v>42.122160000000349</v>
      </c>
      <c r="R53" s="37" t="s">
        <v>66</v>
      </c>
      <c r="S53" s="37" t="s">
        <v>66</v>
      </c>
      <c r="T53" s="143" t="s">
        <v>66</v>
      </c>
    </row>
    <row r="54" spans="1:20" ht="19.5" thickBot="1" x14ac:dyDescent="0.3">
      <c r="A54" s="228" t="s">
        <v>72</v>
      </c>
      <c r="B54" s="229"/>
      <c r="C54" s="229"/>
      <c r="D54" s="229"/>
      <c r="E54" s="230"/>
      <c r="G54" s="144" t="s">
        <v>142</v>
      </c>
      <c r="H54" s="149">
        <f>H34</f>
        <v>4339.8196499999995</v>
      </c>
      <c r="I54" s="145">
        <f>H54-0.8*H47-L11</f>
        <v>2315.4196499999994</v>
      </c>
      <c r="J54" s="145">
        <f>I54-0.8*I47-M11</f>
        <v>287.01964999999927</v>
      </c>
      <c r="K54" s="145" t="s">
        <v>66</v>
      </c>
      <c r="L54" s="145" t="s">
        <v>66</v>
      </c>
      <c r="M54" s="145" t="s">
        <v>66</v>
      </c>
      <c r="N54" s="145" t="s">
        <v>66</v>
      </c>
      <c r="O54" s="145" t="s">
        <v>66</v>
      </c>
      <c r="P54" s="145" t="s">
        <v>66</v>
      </c>
      <c r="Q54" s="145" t="s">
        <v>66</v>
      </c>
      <c r="R54" s="145" t="s">
        <v>66</v>
      </c>
      <c r="S54" s="145" t="s">
        <v>66</v>
      </c>
      <c r="T54" s="146" t="s">
        <v>66</v>
      </c>
    </row>
    <row r="55" spans="1:20" ht="15.75" thickBot="1" x14ac:dyDescent="0.3">
      <c r="A55" s="131" t="s">
        <v>29</v>
      </c>
      <c r="B55" s="7" t="s">
        <v>30</v>
      </c>
      <c r="C55" s="7" t="s">
        <v>54</v>
      </c>
      <c r="D55" s="7" t="s">
        <v>62</v>
      </c>
      <c r="E55" s="132" t="s">
        <v>65</v>
      </c>
    </row>
    <row r="56" spans="1:20" ht="18.75" x14ac:dyDescent="0.25">
      <c r="A56" s="109" t="s">
        <v>38</v>
      </c>
      <c r="B56" s="8" t="s">
        <v>32</v>
      </c>
      <c r="C56" s="8">
        <v>1702</v>
      </c>
      <c r="D56" s="8"/>
      <c r="E56" s="160">
        <f>C56/$C$59</f>
        <v>0.4646972096325015</v>
      </c>
      <c r="F56" s="1" t="s">
        <v>74</v>
      </c>
      <c r="G56" s="147" t="s">
        <v>135</v>
      </c>
      <c r="H56" s="10">
        <v>2025</v>
      </c>
      <c r="I56" s="10">
        <v>2026</v>
      </c>
      <c r="J56" s="10">
        <v>2027</v>
      </c>
      <c r="K56" s="10">
        <v>2028</v>
      </c>
      <c r="L56" s="10">
        <v>2029</v>
      </c>
      <c r="M56" s="10">
        <v>2030</v>
      </c>
      <c r="N56" s="10">
        <v>2031</v>
      </c>
      <c r="O56" s="10">
        <v>2032</v>
      </c>
      <c r="P56" s="10">
        <v>2033</v>
      </c>
      <c r="Q56" s="10">
        <v>2034</v>
      </c>
      <c r="R56" s="10">
        <v>2035</v>
      </c>
      <c r="S56" s="10">
        <v>2040</v>
      </c>
      <c r="T56" s="11">
        <v>2050</v>
      </c>
    </row>
    <row r="57" spans="1:20" x14ac:dyDescent="0.25">
      <c r="A57" s="109" t="s">
        <v>43</v>
      </c>
      <c r="B57" s="8" t="s">
        <v>51</v>
      </c>
      <c r="C57" s="8">
        <v>851</v>
      </c>
      <c r="D57" s="8"/>
      <c r="E57" s="160">
        <f t="shared" ref="E57:E58" si="21">C57/$C$59</f>
        <v>0.23234860481625075</v>
      </c>
      <c r="F57" s="1" t="s">
        <v>73</v>
      </c>
      <c r="G57" s="142" t="s">
        <v>139</v>
      </c>
      <c r="H57" s="37" t="s">
        <v>66</v>
      </c>
      <c r="I57" s="37" t="s">
        <v>66</v>
      </c>
      <c r="J57" s="37" t="s">
        <v>66</v>
      </c>
      <c r="K57" s="9">
        <f>K37</f>
        <v>4487.2999999999993</v>
      </c>
      <c r="L57" s="9">
        <f t="shared" ref="L57:T57" si="22">L37</f>
        <v>4287.2999999999993</v>
      </c>
      <c r="M57" s="9">
        <f t="shared" si="22"/>
        <v>4087.2999999999993</v>
      </c>
      <c r="N57" s="9">
        <f t="shared" si="22"/>
        <v>3887.2999999999993</v>
      </c>
      <c r="O57" s="9">
        <f t="shared" si="22"/>
        <v>3687.2999999999993</v>
      </c>
      <c r="P57" s="9">
        <f t="shared" si="22"/>
        <v>3487.2999999999993</v>
      </c>
      <c r="Q57" s="9">
        <f t="shared" si="22"/>
        <v>3287.2999999999993</v>
      </c>
      <c r="R57" s="37">
        <f t="shared" si="22"/>
        <v>3087.2999999999993</v>
      </c>
      <c r="S57" s="37">
        <f t="shared" si="22"/>
        <v>2087.2999999999993</v>
      </c>
      <c r="T57" s="143">
        <f t="shared" si="22"/>
        <v>87.299999999999272</v>
      </c>
    </row>
    <row r="58" spans="1:20" ht="15.75" thickBot="1" x14ac:dyDescent="0.3">
      <c r="A58" s="110" t="s">
        <v>42</v>
      </c>
      <c r="B58" s="12" t="s">
        <v>31</v>
      </c>
      <c r="C58" s="12">
        <v>1109.5999999999999</v>
      </c>
      <c r="D58" s="12"/>
      <c r="E58" s="161">
        <f t="shared" si="21"/>
        <v>0.30295418555124776</v>
      </c>
      <c r="F58" s="1" t="s">
        <v>73</v>
      </c>
      <c r="G58" s="131" t="s">
        <v>140</v>
      </c>
      <c r="H58" s="9">
        <f>H38</f>
        <v>9996.7230600000003</v>
      </c>
      <c r="I58" s="9">
        <f>H58-H46-$E$13</f>
        <v>9170.8870600000009</v>
      </c>
      <c r="J58" s="37">
        <f>I58-I46-$E$13</f>
        <v>8345.0510600000016</v>
      </c>
      <c r="K58" s="9">
        <f>J58-$E$13+F13-J46</f>
        <v>10543.815060000001</v>
      </c>
      <c r="L58" s="9">
        <f>K58-$E$13</f>
        <v>10329.979060000001</v>
      </c>
      <c r="M58" s="9">
        <f t="shared" ref="M58:R58" si="23">L58-$E$13</f>
        <v>10116.143060000002</v>
      </c>
      <c r="N58" s="9">
        <f t="shared" si="23"/>
        <v>9902.3070600000028</v>
      </c>
      <c r="O58" s="9">
        <f t="shared" si="23"/>
        <v>9688.4710600000035</v>
      </c>
      <c r="P58" s="9">
        <f t="shared" si="23"/>
        <v>9474.6350600000042</v>
      </c>
      <c r="Q58" s="9">
        <f t="shared" si="23"/>
        <v>9260.7990600000048</v>
      </c>
      <c r="R58" s="9">
        <f t="shared" si="23"/>
        <v>9046.9630600000055</v>
      </c>
      <c r="S58" s="9">
        <f>R58-5*E13</f>
        <v>7977.7830600000052</v>
      </c>
      <c r="T58" s="22">
        <f>S58-10*E13</f>
        <v>5839.4230600000046</v>
      </c>
    </row>
    <row r="59" spans="1:20" x14ac:dyDescent="0.25">
      <c r="B59" s="117" t="s">
        <v>20</v>
      </c>
      <c r="C59" s="117">
        <f>SUM(C56:C58)</f>
        <v>3662.6</v>
      </c>
      <c r="G59" s="131" t="s">
        <v>103</v>
      </c>
      <c r="H59" s="37">
        <f>H39</f>
        <v>986.548</v>
      </c>
      <c r="I59" s="37">
        <f>H59-0.1*H47-$E$14</f>
        <v>747.72020000000009</v>
      </c>
      <c r="J59" s="37">
        <f>H59-0.1*I47-$E$14+F14</f>
        <v>1534.9502000000002</v>
      </c>
      <c r="K59" s="37">
        <f>J59-$E$14-0.1*J47</f>
        <v>1296.1224000000002</v>
      </c>
      <c r="L59" s="37">
        <f t="shared" ref="L59:Q59" si="24">K59-$E$14</f>
        <v>1224.0946000000001</v>
      </c>
      <c r="M59" s="37">
        <f t="shared" si="24"/>
        <v>1152.0668000000001</v>
      </c>
      <c r="N59" s="43">
        <f t="shared" si="24"/>
        <v>1080.039</v>
      </c>
      <c r="O59" s="43">
        <f t="shared" si="24"/>
        <v>1008.0112</v>
      </c>
      <c r="P59" s="43">
        <f t="shared" si="24"/>
        <v>935.98340000000007</v>
      </c>
      <c r="Q59" s="37">
        <f t="shared" si="24"/>
        <v>863.95560000000012</v>
      </c>
      <c r="R59" s="37" t="s">
        <v>66</v>
      </c>
      <c r="S59" s="37" t="s">
        <v>66</v>
      </c>
      <c r="T59" s="143" t="s">
        <v>66</v>
      </c>
    </row>
    <row r="60" spans="1:20" x14ac:dyDescent="0.25">
      <c r="G60" s="131" t="s">
        <v>141</v>
      </c>
      <c r="H60" s="37">
        <f>H40</f>
        <v>1788.2922600000002</v>
      </c>
      <c r="I60" s="37">
        <f>H60-0.1*H47-$E$15</f>
        <v>1483.0733600000003</v>
      </c>
      <c r="J60" s="37">
        <f>I60-0.1*I47-$E$15+F15</f>
        <v>1431.2544600000006</v>
      </c>
      <c r="K60" s="37">
        <f>J60-$E$15-0.1*J47</f>
        <v>1126.0355600000005</v>
      </c>
      <c r="L60" s="37">
        <f t="shared" ref="L60:P60" si="25">K60-$E$15</f>
        <v>987.61666000000048</v>
      </c>
      <c r="M60" s="37">
        <f t="shared" si="25"/>
        <v>849.19776000000047</v>
      </c>
      <c r="N60" s="37">
        <f t="shared" si="25"/>
        <v>710.77886000000046</v>
      </c>
      <c r="O60" s="37">
        <f t="shared" si="25"/>
        <v>572.35996000000046</v>
      </c>
      <c r="P60" s="37">
        <f t="shared" si="25"/>
        <v>433.94106000000045</v>
      </c>
      <c r="Q60" s="37" t="s">
        <v>66</v>
      </c>
      <c r="R60" s="37" t="s">
        <v>66</v>
      </c>
      <c r="S60" s="37" t="s">
        <v>66</v>
      </c>
      <c r="T60" s="143" t="s">
        <v>66</v>
      </c>
    </row>
    <row r="61" spans="1:20" ht="15.75" thickBot="1" x14ac:dyDescent="0.3">
      <c r="G61" s="144" t="s">
        <v>142</v>
      </c>
      <c r="H61" s="145">
        <f>H41</f>
        <v>4339.8196499999995</v>
      </c>
      <c r="I61" s="145">
        <f>H61-0.8*H47-L11</f>
        <v>2315.4196499999994</v>
      </c>
      <c r="J61" s="145">
        <f>I61-(0.8*I47)-M11+F16</f>
        <v>3075.089649999999</v>
      </c>
      <c r="K61" s="145">
        <f>J61-N11-0.8*J47</f>
        <v>1044.6896499999989</v>
      </c>
      <c r="L61" s="145">
        <f>K61-O11</f>
        <v>187.68964999999889</v>
      </c>
      <c r="M61" s="145" t="s">
        <v>66</v>
      </c>
      <c r="N61" s="149" t="s">
        <v>66</v>
      </c>
      <c r="O61" s="149" t="s">
        <v>66</v>
      </c>
      <c r="P61" s="149" t="s">
        <v>66</v>
      </c>
      <c r="Q61" s="149" t="s">
        <v>66</v>
      </c>
      <c r="R61" s="149" t="s">
        <v>66</v>
      </c>
      <c r="S61" s="145" t="s">
        <v>66</v>
      </c>
      <c r="T61" s="146" t="s">
        <v>66</v>
      </c>
    </row>
    <row r="62" spans="1:20" ht="19.5" thickBot="1" x14ac:dyDescent="0.3">
      <c r="A62" s="228" t="s">
        <v>71</v>
      </c>
      <c r="B62" s="229"/>
      <c r="C62" s="229"/>
      <c r="D62" s="229"/>
      <c r="E62" s="230"/>
    </row>
    <row r="63" spans="1:20" ht="18.75" x14ac:dyDescent="0.25">
      <c r="A63" s="131" t="s">
        <v>29</v>
      </c>
      <c r="B63" s="7" t="s">
        <v>30</v>
      </c>
      <c r="C63" s="7" t="s">
        <v>54</v>
      </c>
      <c r="D63" s="7" t="s">
        <v>62</v>
      </c>
      <c r="E63" s="132" t="s">
        <v>65</v>
      </c>
      <c r="G63" s="150" t="s">
        <v>110</v>
      </c>
      <c r="H63" s="151">
        <v>2025</v>
      </c>
      <c r="I63" s="151">
        <v>2026</v>
      </c>
      <c r="J63" s="151">
        <v>2027</v>
      </c>
      <c r="K63" s="151">
        <v>2028</v>
      </c>
      <c r="L63" s="151">
        <v>2029</v>
      </c>
      <c r="M63" s="151">
        <v>2030</v>
      </c>
      <c r="N63" s="151">
        <v>2031</v>
      </c>
      <c r="O63" s="151">
        <v>2032</v>
      </c>
      <c r="P63" s="151">
        <v>2033</v>
      </c>
      <c r="Q63" s="151">
        <v>2034</v>
      </c>
      <c r="R63" s="151">
        <v>2035</v>
      </c>
      <c r="S63" s="151">
        <v>2040</v>
      </c>
      <c r="T63" s="152">
        <v>2050</v>
      </c>
    </row>
    <row r="64" spans="1:20" x14ac:dyDescent="0.25">
      <c r="A64" s="163" t="s">
        <v>67</v>
      </c>
      <c r="B64" s="8" t="s">
        <v>46</v>
      </c>
      <c r="C64" s="159">
        <v>428.7</v>
      </c>
      <c r="D64" s="159"/>
      <c r="E64" s="160">
        <f>C64/$C$66</f>
        <v>0.50275595168288956</v>
      </c>
      <c r="F64" s="1" t="s">
        <v>74</v>
      </c>
      <c r="G64" s="153" t="s">
        <v>139</v>
      </c>
      <c r="H64" s="54" t="s">
        <v>66</v>
      </c>
      <c r="I64" s="54" t="s">
        <v>66</v>
      </c>
      <c r="J64" s="54" t="s">
        <v>66</v>
      </c>
      <c r="K64" s="54" t="s">
        <v>66</v>
      </c>
      <c r="L64" s="54" t="s">
        <v>66</v>
      </c>
      <c r="M64" s="54" t="s">
        <v>66</v>
      </c>
      <c r="N64" s="54" t="s">
        <v>66</v>
      </c>
      <c r="O64" s="54" t="s">
        <v>66</v>
      </c>
      <c r="P64" s="54" t="s">
        <v>66</v>
      </c>
      <c r="Q64" s="54" t="s">
        <v>66</v>
      </c>
      <c r="R64" s="54" t="s">
        <v>66</v>
      </c>
      <c r="S64" s="54" t="s">
        <v>66</v>
      </c>
      <c r="T64" s="154" t="s">
        <v>66</v>
      </c>
    </row>
    <row r="65" spans="1:20" ht="15.75" thickBot="1" x14ac:dyDescent="0.3">
      <c r="A65" s="164" t="s">
        <v>38</v>
      </c>
      <c r="B65" s="12" t="s">
        <v>32</v>
      </c>
      <c r="C65" s="165">
        <v>424</v>
      </c>
      <c r="D65" s="165"/>
      <c r="E65" s="161">
        <f>C65/$C$66</f>
        <v>0.49724404831711033</v>
      </c>
      <c r="F65" s="1" t="s">
        <v>73</v>
      </c>
      <c r="G65" s="155" t="s">
        <v>140</v>
      </c>
      <c r="H65" s="54">
        <f>H51-$H$20</f>
        <v>4425.4550600000002</v>
      </c>
      <c r="I65" s="54">
        <f>H65-I46-$E$13+$I$20</f>
        <v>3642.9936600000001</v>
      </c>
      <c r="J65" s="54">
        <f>I65-J46-$E$13+$I$20</f>
        <v>2860.53226</v>
      </c>
      <c r="K65" s="54">
        <f t="shared" ref="K65:R65" si="26">J65-$E$13+$I$20</f>
        <v>2690.0708599999998</v>
      </c>
      <c r="L65" s="54">
        <f t="shared" si="26"/>
        <v>2519.6094599999997</v>
      </c>
      <c r="M65" s="54">
        <f t="shared" si="26"/>
        <v>2349.1480599999995</v>
      </c>
      <c r="N65" s="54">
        <f t="shared" si="26"/>
        <v>2178.6866599999994</v>
      </c>
      <c r="O65" s="54">
        <f t="shared" si="26"/>
        <v>2008.2252599999995</v>
      </c>
      <c r="P65" s="54">
        <f t="shared" si="26"/>
        <v>1837.7638599999996</v>
      </c>
      <c r="Q65" s="54">
        <f t="shared" si="26"/>
        <v>1667.3024599999997</v>
      </c>
      <c r="R65" s="54">
        <f t="shared" si="26"/>
        <v>1496.8410599999997</v>
      </c>
      <c r="S65" s="54">
        <f>R65-5*(E13-I20)</f>
        <v>644.53405999999961</v>
      </c>
      <c r="T65" s="154" t="s">
        <v>66</v>
      </c>
    </row>
    <row r="66" spans="1:20" x14ac:dyDescent="0.25">
      <c r="B66" s="117" t="s">
        <v>20</v>
      </c>
      <c r="C66" s="117">
        <f>SUM(C64:C65)</f>
        <v>852.7</v>
      </c>
      <c r="G66" s="155" t="s">
        <v>103</v>
      </c>
      <c r="H66" s="54">
        <f>H52</f>
        <v>986.548</v>
      </c>
      <c r="I66" s="54">
        <f t="shared" ref="I66:T66" si="27">I52</f>
        <v>747.72020000000009</v>
      </c>
      <c r="J66" s="54">
        <f t="shared" si="27"/>
        <v>508.89240000000001</v>
      </c>
      <c r="K66" s="54">
        <f t="shared" si="27"/>
        <v>270.06459999999998</v>
      </c>
      <c r="L66" s="54">
        <f t="shared" si="27"/>
        <v>198.03679999999997</v>
      </c>
      <c r="M66" s="54">
        <f t="shared" si="27"/>
        <v>126.00899999999997</v>
      </c>
      <c r="N66" s="54">
        <f t="shared" si="27"/>
        <v>53.981199999999973</v>
      </c>
      <c r="O66" s="54" t="str">
        <f t="shared" si="27"/>
        <v>-</v>
      </c>
      <c r="P66" s="54" t="str">
        <f t="shared" si="27"/>
        <v>-</v>
      </c>
      <c r="Q66" s="54" t="str">
        <f t="shared" si="27"/>
        <v>-</v>
      </c>
      <c r="R66" s="54" t="str">
        <f t="shared" si="27"/>
        <v>-</v>
      </c>
      <c r="S66" s="54" t="str">
        <f t="shared" si="27"/>
        <v>-</v>
      </c>
      <c r="T66" s="154" t="str">
        <f t="shared" si="27"/>
        <v>-</v>
      </c>
    </row>
    <row r="67" spans="1:20" x14ac:dyDescent="0.25">
      <c r="G67" s="155" t="s">
        <v>141</v>
      </c>
      <c r="H67" s="54">
        <f>H53</f>
        <v>1788.2922600000002</v>
      </c>
      <c r="I67" s="54">
        <f t="shared" ref="I67:T67" si="28">I53</f>
        <v>1483.0733600000003</v>
      </c>
      <c r="J67" s="54">
        <f t="shared" si="28"/>
        <v>1177.8544600000005</v>
      </c>
      <c r="K67" s="54">
        <f t="shared" si="28"/>
        <v>872.6355600000004</v>
      </c>
      <c r="L67" s="54">
        <f t="shared" si="28"/>
        <v>734.21666000000039</v>
      </c>
      <c r="M67" s="54">
        <f t="shared" si="28"/>
        <v>595.79776000000038</v>
      </c>
      <c r="N67" s="54">
        <f t="shared" si="28"/>
        <v>457.37886000000037</v>
      </c>
      <c r="O67" s="54">
        <f t="shared" si="28"/>
        <v>318.95996000000036</v>
      </c>
      <c r="P67" s="54">
        <f t="shared" si="28"/>
        <v>180.54106000000036</v>
      </c>
      <c r="Q67" s="54">
        <f t="shared" si="28"/>
        <v>42.122160000000349</v>
      </c>
      <c r="R67" s="54" t="str">
        <f t="shared" si="28"/>
        <v>-</v>
      </c>
      <c r="S67" s="54" t="str">
        <f t="shared" si="28"/>
        <v>-</v>
      </c>
      <c r="T67" s="154" t="str">
        <f t="shared" si="28"/>
        <v>-</v>
      </c>
    </row>
    <row r="68" spans="1:20" ht="15.75" thickBot="1" x14ac:dyDescent="0.3">
      <c r="G68" s="156" t="s">
        <v>142</v>
      </c>
      <c r="H68" s="157">
        <f>H54-H21</f>
        <v>3380.1637499999997</v>
      </c>
      <c r="I68" s="157">
        <f>H68-0.8*I47-L11+$I$21</f>
        <v>1385.7520499999996</v>
      </c>
      <c r="J68" s="157" t="s">
        <v>66</v>
      </c>
      <c r="K68" s="157" t="s">
        <v>66</v>
      </c>
      <c r="L68" s="157" t="s">
        <v>66</v>
      </c>
      <c r="M68" s="157" t="s">
        <v>66</v>
      </c>
      <c r="N68" s="157" t="s">
        <v>66</v>
      </c>
      <c r="O68" s="157" t="s">
        <v>66</v>
      </c>
      <c r="P68" s="157" t="s">
        <v>66</v>
      </c>
      <c r="Q68" s="157" t="s">
        <v>66</v>
      </c>
      <c r="R68" s="157" t="s">
        <v>66</v>
      </c>
      <c r="S68" s="157" t="s">
        <v>66</v>
      </c>
      <c r="T68" s="158" t="s">
        <v>66</v>
      </c>
    </row>
    <row r="69" spans="1:20" x14ac:dyDescent="0.25">
      <c r="I69" s="51"/>
    </row>
    <row r="70" spans="1:20" x14ac:dyDescent="0.25">
      <c r="I70" s="51"/>
    </row>
  </sheetData>
  <mergeCells count="25">
    <mergeCell ref="A2:B3"/>
    <mergeCell ref="A4:B5"/>
    <mergeCell ref="A1:C1"/>
    <mergeCell ref="A19:E19"/>
    <mergeCell ref="I24:J24"/>
    <mergeCell ref="I23:J23"/>
    <mergeCell ref="I22:J22"/>
    <mergeCell ref="G18:K18"/>
    <mergeCell ref="A6:B11"/>
    <mergeCell ref="G10:I10"/>
    <mergeCell ref="A62:E62"/>
    <mergeCell ref="J1:M1"/>
    <mergeCell ref="J9:R9"/>
    <mergeCell ref="J10:K10"/>
    <mergeCell ref="J11:K11"/>
    <mergeCell ref="J12:K12"/>
    <mergeCell ref="N1:P1"/>
    <mergeCell ref="A28:E28"/>
    <mergeCell ref="A45:E45"/>
    <mergeCell ref="A54:E54"/>
    <mergeCell ref="A12:B16"/>
    <mergeCell ref="G43:K43"/>
    <mergeCell ref="I19:J19"/>
    <mergeCell ref="I20:J20"/>
    <mergeCell ref="I21:J21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836DD-2767-4B0F-9E5F-4334B4538550}">
  <dimension ref="A1:X69"/>
  <sheetViews>
    <sheetView zoomScale="55" zoomScaleNormal="55" workbookViewId="0">
      <selection activeCell="D55" sqref="D55"/>
    </sheetView>
  </sheetViews>
  <sheetFormatPr defaultRowHeight="15" x14ac:dyDescent="0.25"/>
  <cols>
    <col min="1" max="1" width="10.85546875" style="1" bestFit="1" customWidth="1"/>
    <col min="2" max="2" width="22.5703125" style="1" bestFit="1" customWidth="1"/>
    <col min="3" max="3" width="24.85546875" style="1" bestFit="1" customWidth="1"/>
    <col min="4" max="4" width="28.7109375" style="1" bestFit="1" customWidth="1"/>
    <col min="5" max="5" width="33.85546875" style="1" bestFit="1" customWidth="1"/>
    <col min="6" max="6" width="21.7109375" style="1" bestFit="1" customWidth="1"/>
    <col min="7" max="7" width="55.140625" style="1" bestFit="1" customWidth="1"/>
    <col min="8" max="8" width="27.140625" style="1" bestFit="1" customWidth="1"/>
    <col min="9" max="9" width="24.85546875" style="1" bestFit="1" customWidth="1"/>
    <col min="10" max="10" width="19.85546875" style="1" bestFit="1" customWidth="1"/>
    <col min="11" max="11" width="33.85546875" style="1" bestFit="1" customWidth="1"/>
    <col min="12" max="12" width="24.85546875" style="1" bestFit="1" customWidth="1"/>
    <col min="13" max="13" width="17.42578125" style="1" bestFit="1" customWidth="1"/>
    <col min="14" max="14" width="18" style="1" bestFit="1" customWidth="1"/>
    <col min="15" max="15" width="16" style="1" bestFit="1" customWidth="1"/>
    <col min="16" max="16" width="10" style="1" bestFit="1" customWidth="1"/>
    <col min="17" max="20" width="9.42578125" style="1" bestFit="1" customWidth="1"/>
    <col min="21" max="21" width="9.140625" style="1"/>
    <col min="22" max="22" width="5.140625" style="1" bestFit="1" customWidth="1"/>
    <col min="23" max="23" width="4.85546875" style="1" bestFit="1" customWidth="1"/>
    <col min="24" max="24" width="9.42578125" style="1" bestFit="1" customWidth="1"/>
    <col min="25" max="16384" width="9.140625" style="1"/>
  </cols>
  <sheetData>
    <row r="1" spans="1:24" ht="18.75" x14ac:dyDescent="0.25">
      <c r="A1" s="269" t="s">
        <v>77</v>
      </c>
      <c r="B1" s="270"/>
      <c r="C1" s="270"/>
      <c r="D1" s="10" t="s">
        <v>8</v>
      </c>
      <c r="E1" s="10" t="s">
        <v>9</v>
      </c>
      <c r="F1" s="11" t="s">
        <v>11</v>
      </c>
      <c r="J1" s="271" t="s">
        <v>93</v>
      </c>
      <c r="K1" s="272"/>
      <c r="L1" s="272"/>
      <c r="M1" s="273"/>
      <c r="N1" s="226" t="s">
        <v>130</v>
      </c>
      <c r="O1" s="226"/>
      <c r="P1" s="226"/>
      <c r="V1" s="1" t="s">
        <v>130</v>
      </c>
      <c r="W1" s="2" t="s">
        <v>73</v>
      </c>
      <c r="X1" s="2" t="s">
        <v>121</v>
      </c>
    </row>
    <row r="2" spans="1:24" x14ac:dyDescent="0.25">
      <c r="A2" s="258" t="s">
        <v>2</v>
      </c>
      <c r="B2" s="259"/>
      <c r="C2" s="8" t="s">
        <v>144</v>
      </c>
      <c r="D2" s="9">
        <f>7308.68943+2932.383</f>
        <v>10241.07243</v>
      </c>
      <c r="E2" s="9">
        <f>264.6238+30.53</f>
        <v>295.15380000000005</v>
      </c>
      <c r="F2" s="22">
        <f>185+646+40.8+126+654.8+49+372+305+105+109+130+175+126+296+97+192+258</f>
        <v>3866.6</v>
      </c>
      <c r="J2" s="131" t="s">
        <v>14</v>
      </c>
      <c r="K2" s="28" t="s">
        <v>13</v>
      </c>
      <c r="L2" s="7" t="s">
        <v>15</v>
      </c>
      <c r="M2" s="132" t="s">
        <v>16</v>
      </c>
      <c r="N2" s="31" t="s">
        <v>108</v>
      </c>
      <c r="O2" s="26" t="s">
        <v>109</v>
      </c>
      <c r="P2" s="26" t="s">
        <v>121</v>
      </c>
      <c r="W2" s="2" t="s">
        <v>122</v>
      </c>
      <c r="X2" s="3">
        <f>L36+E12</f>
        <v>124.47999999999999</v>
      </c>
    </row>
    <row r="3" spans="1:24" x14ac:dyDescent="0.25">
      <c r="A3" s="258"/>
      <c r="B3" s="259"/>
      <c r="C3" s="8" t="s">
        <v>103</v>
      </c>
      <c r="D3" s="9">
        <f>5673.672+4667.047</f>
        <v>10340.718999999999</v>
      </c>
      <c r="E3" s="9">
        <f>145.0978+65.2312</f>
        <v>210.32900000000001</v>
      </c>
      <c r="F3" s="22">
        <f>186+283+154+39+74+379+183+287+594+346+641+710</f>
        <v>3876</v>
      </c>
      <c r="J3" s="109" t="s">
        <v>17</v>
      </c>
      <c r="K3" s="8">
        <v>200</v>
      </c>
      <c r="L3" s="8">
        <v>0</v>
      </c>
      <c r="M3" s="168">
        <f>L3/K3</f>
        <v>0</v>
      </c>
      <c r="N3" s="31">
        <f>K3*15</f>
        <v>3000</v>
      </c>
      <c r="O3" s="59">
        <f>E12*15</f>
        <v>58.199999999999996</v>
      </c>
      <c r="P3" s="59">
        <f>L36*15</f>
        <v>1809</v>
      </c>
      <c r="W3" s="2" t="s">
        <v>123</v>
      </c>
      <c r="X3" s="3">
        <f>L37+E13</f>
        <v>808.44799999999998</v>
      </c>
    </row>
    <row r="4" spans="1:24" x14ac:dyDescent="0.25">
      <c r="A4" s="258" t="s">
        <v>0</v>
      </c>
      <c r="B4" s="259"/>
      <c r="C4" s="8" t="s">
        <v>145</v>
      </c>
      <c r="D4" s="9">
        <f>11.31+317.8</f>
        <v>329.11</v>
      </c>
      <c r="E4" s="9">
        <f>3.12+3.4</f>
        <v>6.52</v>
      </c>
      <c r="F4" s="22">
        <f>821</f>
        <v>821</v>
      </c>
      <c r="J4" s="109" t="s">
        <v>18</v>
      </c>
      <c r="K4" s="8">
        <v>200</v>
      </c>
      <c r="L4" s="8">
        <v>4477</v>
      </c>
      <c r="M4" s="168">
        <f>L4/K4</f>
        <v>22.385000000000002</v>
      </c>
      <c r="N4" s="31">
        <f>K4*15</f>
        <v>3000</v>
      </c>
      <c r="O4" s="59">
        <f t="shared" ref="O4:O7" si="0">E13*15</f>
        <v>2451.7200000000003</v>
      </c>
      <c r="P4" s="59">
        <f>(E13+L37)*15</f>
        <v>12126.72</v>
      </c>
      <c r="W4" s="2" t="s">
        <v>124</v>
      </c>
      <c r="X4" s="3">
        <f>0.1*L38+E14</f>
        <v>345.38900000000001</v>
      </c>
    </row>
    <row r="5" spans="1:24" x14ac:dyDescent="0.25">
      <c r="A5" s="258"/>
      <c r="B5" s="259"/>
      <c r="C5" s="8" t="s">
        <v>141</v>
      </c>
      <c r="D5" s="9">
        <f>2901.11723+1284.322</f>
        <v>4185.43923</v>
      </c>
      <c r="E5" s="9">
        <f>166.4416+5.8428</f>
        <v>172.28440000000001</v>
      </c>
      <c r="F5" s="22">
        <f>173+30.6</f>
        <v>203.6</v>
      </c>
      <c r="J5" s="109" t="s">
        <v>3</v>
      </c>
      <c r="K5" s="8">
        <v>350</v>
      </c>
      <c r="L5" s="8">
        <v>9785</v>
      </c>
      <c r="M5" s="168">
        <f>L5/K5</f>
        <v>27.957142857142856</v>
      </c>
      <c r="N5" s="31">
        <f>K5*15</f>
        <v>5250</v>
      </c>
      <c r="O5" s="59">
        <f t="shared" si="0"/>
        <v>3154.9349999999999</v>
      </c>
      <c r="P5" s="59">
        <f>(E14+(0.1*L38))*15</f>
        <v>5180.835</v>
      </c>
      <c r="W5" s="2" t="s">
        <v>125</v>
      </c>
      <c r="X5" s="3">
        <f>0.1*L38+E15</f>
        <v>307.34440000000001</v>
      </c>
    </row>
    <row r="6" spans="1:24" x14ac:dyDescent="0.25">
      <c r="A6" s="258" t="s">
        <v>4</v>
      </c>
      <c r="B6" s="259"/>
      <c r="C6" s="8" t="s">
        <v>146</v>
      </c>
      <c r="D6" s="9">
        <v>0</v>
      </c>
      <c r="E6" s="9">
        <v>0</v>
      </c>
      <c r="F6" s="22">
        <v>0</v>
      </c>
      <c r="J6" s="109" t="s">
        <v>1</v>
      </c>
      <c r="K6" s="8">
        <v>200</v>
      </c>
      <c r="L6" s="8">
        <v>4363</v>
      </c>
      <c r="M6" s="168">
        <f>L6/K6</f>
        <v>21.815000000000001</v>
      </c>
      <c r="N6" s="31">
        <f>K6*15</f>
        <v>3000</v>
      </c>
      <c r="O6" s="59">
        <f t="shared" si="0"/>
        <v>2584.2660000000001</v>
      </c>
      <c r="P6" s="59">
        <f>(E15+(0.1*L38))*15</f>
        <v>4610.1660000000002</v>
      </c>
      <c r="W6" s="2" t="s">
        <v>126</v>
      </c>
      <c r="X6" s="3">
        <f>0.8*L38+S11</f>
        <v>2124.6365999999998</v>
      </c>
    </row>
    <row r="7" spans="1:24" ht="15.75" thickBot="1" x14ac:dyDescent="0.3">
      <c r="A7" s="258"/>
      <c r="B7" s="259"/>
      <c r="C7" s="8" t="s">
        <v>101</v>
      </c>
      <c r="D7" s="9">
        <f>3+3559.637</f>
        <v>3562.6370000000002</v>
      </c>
      <c r="E7" s="9">
        <f>9.5538+69.1646</f>
        <v>78.718399999999988</v>
      </c>
      <c r="F7" s="22">
        <f>1622+1376</f>
        <v>2998</v>
      </c>
      <c r="J7" s="110" t="s">
        <v>22</v>
      </c>
      <c r="K7" s="12">
        <v>1200</v>
      </c>
      <c r="L7" s="12">
        <v>13897</v>
      </c>
      <c r="M7" s="169">
        <f>L7/K7</f>
        <v>11.580833333333333</v>
      </c>
      <c r="N7" s="31">
        <f>K7*15</f>
        <v>18000</v>
      </c>
      <c r="O7" s="59">
        <f t="shared" si="0"/>
        <v>4525.107</v>
      </c>
      <c r="P7" s="59">
        <f>((E16+S11)+0.8*L38)*15</f>
        <v>36394.656000000003</v>
      </c>
    </row>
    <row r="8" spans="1:24" ht="15.75" thickBot="1" x14ac:dyDescent="0.3">
      <c r="A8" s="258"/>
      <c r="B8" s="259"/>
      <c r="C8" s="8" t="s">
        <v>5</v>
      </c>
      <c r="D8" s="9">
        <v>0</v>
      </c>
      <c r="E8" s="9">
        <v>0</v>
      </c>
      <c r="F8" s="22">
        <v>0</v>
      </c>
    </row>
    <row r="9" spans="1:24" ht="18.75" x14ac:dyDescent="0.25">
      <c r="A9" s="258"/>
      <c r="B9" s="259"/>
      <c r="C9" s="8" t="s">
        <v>10</v>
      </c>
      <c r="D9" s="9">
        <v>0</v>
      </c>
      <c r="E9" s="9">
        <v>0</v>
      </c>
      <c r="F9" s="22">
        <v>0</v>
      </c>
      <c r="J9" s="274" t="s">
        <v>94</v>
      </c>
      <c r="K9" s="275"/>
      <c r="L9" s="275"/>
      <c r="M9" s="275"/>
      <c r="N9" s="275"/>
      <c r="O9" s="275"/>
      <c r="P9" s="275"/>
      <c r="Q9" s="275"/>
      <c r="R9" s="276"/>
      <c r="S9" s="2" t="s">
        <v>130</v>
      </c>
    </row>
    <row r="10" spans="1:24" x14ac:dyDescent="0.25">
      <c r="A10" s="258"/>
      <c r="B10" s="259"/>
      <c r="C10" s="8" t="s">
        <v>6</v>
      </c>
      <c r="D10" s="9">
        <f>4167.018+209.8</f>
        <v>4376.8180000000002</v>
      </c>
      <c r="E10" s="9">
        <f>121.68+41.768</f>
        <v>163.44800000000001</v>
      </c>
      <c r="F10" s="22">
        <f>853</f>
        <v>853</v>
      </c>
      <c r="G10" s="243" t="s">
        <v>130</v>
      </c>
      <c r="H10" s="226"/>
      <c r="I10" s="226"/>
      <c r="J10" s="237" t="s">
        <v>19</v>
      </c>
      <c r="K10" s="238"/>
      <c r="L10" s="6">
        <v>2025</v>
      </c>
      <c r="M10" s="6">
        <v>2026</v>
      </c>
      <c r="N10" s="6">
        <v>2027</v>
      </c>
      <c r="O10" s="6">
        <v>2028</v>
      </c>
      <c r="P10" s="6">
        <v>2029</v>
      </c>
      <c r="Q10" s="6">
        <v>2030</v>
      </c>
      <c r="R10" s="137" t="s">
        <v>20</v>
      </c>
      <c r="S10" s="117" t="s">
        <v>120</v>
      </c>
    </row>
    <row r="11" spans="1:24" ht="15.75" thickBot="1" x14ac:dyDescent="0.3">
      <c r="A11" s="260"/>
      <c r="B11" s="261"/>
      <c r="C11" s="12" t="s">
        <v>23</v>
      </c>
      <c r="D11" s="13">
        <v>0</v>
      </c>
      <c r="E11" s="13">
        <v>3.88</v>
      </c>
      <c r="F11" s="39">
        <v>0</v>
      </c>
      <c r="G11" s="5" t="s">
        <v>68</v>
      </c>
      <c r="H11" s="5" t="s">
        <v>69</v>
      </c>
      <c r="J11" s="239" t="s">
        <v>26</v>
      </c>
      <c r="K11" s="240"/>
      <c r="L11" s="40">
        <v>1092.3989999999999</v>
      </c>
      <c r="M11" s="40">
        <v>1039.03</v>
      </c>
      <c r="N11" s="40">
        <v>1039.009</v>
      </c>
      <c r="O11" s="40">
        <v>587.80200000000002</v>
      </c>
      <c r="P11" s="40">
        <v>585.63800000000003</v>
      </c>
      <c r="Q11" s="40">
        <v>876.90499999999997</v>
      </c>
      <c r="R11" s="138">
        <f>SUM(L11:Q11)</f>
        <v>5220.7830000000004</v>
      </c>
      <c r="S11" s="118">
        <f>R11/5</f>
        <v>1044.1566</v>
      </c>
    </row>
    <row r="12" spans="1:24" ht="15.75" thickBot="1" x14ac:dyDescent="0.3">
      <c r="A12" s="244" t="s">
        <v>20</v>
      </c>
      <c r="B12" s="245"/>
      <c r="C12" s="15" t="s">
        <v>139</v>
      </c>
      <c r="D12" s="23">
        <f>D9+D11</f>
        <v>0</v>
      </c>
      <c r="E12" s="23">
        <f>E9+E11</f>
        <v>3.88</v>
      </c>
      <c r="F12" s="24">
        <f>F9+F11</f>
        <v>0</v>
      </c>
      <c r="G12" s="33">
        <f>D12/K3</f>
        <v>0</v>
      </c>
      <c r="H12" s="33">
        <f>F12/K3</f>
        <v>0</v>
      </c>
      <c r="I12" s="34">
        <f>SUM(G12:H12)</f>
        <v>0</v>
      </c>
      <c r="J12" s="241" t="s">
        <v>21</v>
      </c>
      <c r="K12" s="242"/>
      <c r="L12" s="139">
        <v>902.92</v>
      </c>
      <c r="M12" s="139">
        <v>2708.761</v>
      </c>
      <c r="N12" s="139">
        <v>3489.9140000000002</v>
      </c>
      <c r="O12" s="139">
        <v>1927.6079999999999</v>
      </c>
      <c r="P12" s="139">
        <v>0</v>
      </c>
      <c r="Q12" s="139">
        <v>0</v>
      </c>
      <c r="R12" s="140">
        <f>SUM(L12:Q12)</f>
        <v>9029.2029999999995</v>
      </c>
      <c r="S12" s="118">
        <f>R12/5</f>
        <v>1805.8406</v>
      </c>
    </row>
    <row r="13" spans="1:24" x14ac:dyDescent="0.25">
      <c r="A13" s="246"/>
      <c r="B13" s="247"/>
      <c r="C13" s="16" t="s">
        <v>140</v>
      </c>
      <c r="D13" s="17">
        <f>D10+D8</f>
        <v>4376.8180000000002</v>
      </c>
      <c r="E13" s="17">
        <f t="shared" ref="E13:F13" si="1">E10+E8</f>
        <v>163.44800000000001</v>
      </c>
      <c r="F13" s="18">
        <f t="shared" si="1"/>
        <v>853</v>
      </c>
      <c r="G13" s="3">
        <f>D13/K4</f>
        <v>21.88409</v>
      </c>
      <c r="H13" s="3">
        <f t="shared" ref="H13:H16" si="2">F13/K4</f>
        <v>4.2649999999999997</v>
      </c>
      <c r="I13" s="30">
        <f t="shared" ref="I13:I16" si="3">SUM(G13:H13)</f>
        <v>26.149090000000001</v>
      </c>
    </row>
    <row r="14" spans="1:24" x14ac:dyDescent="0.25">
      <c r="A14" s="246"/>
      <c r="B14" s="247"/>
      <c r="C14" s="16" t="s">
        <v>103</v>
      </c>
      <c r="D14" s="17">
        <f>D3</f>
        <v>10340.718999999999</v>
      </c>
      <c r="E14" s="17">
        <f t="shared" ref="E14:F14" si="4">E3</f>
        <v>210.32900000000001</v>
      </c>
      <c r="F14" s="18">
        <f t="shared" si="4"/>
        <v>3876</v>
      </c>
      <c r="G14" s="41">
        <f>D14/K5</f>
        <v>29.544911428571424</v>
      </c>
      <c r="H14" s="41">
        <f t="shared" si="2"/>
        <v>11.074285714285715</v>
      </c>
      <c r="I14" s="42">
        <f t="shared" si="3"/>
        <v>40.619197142857139</v>
      </c>
      <c r="L14" s="186"/>
      <c r="M14" s="186"/>
      <c r="N14" s="186"/>
      <c r="O14" s="186"/>
      <c r="P14" s="186"/>
      <c r="Q14" s="186"/>
    </row>
    <row r="15" spans="1:24" x14ac:dyDescent="0.25">
      <c r="A15" s="246"/>
      <c r="B15" s="247"/>
      <c r="C15" s="16" t="s">
        <v>141</v>
      </c>
      <c r="D15" s="17">
        <f>D5</f>
        <v>4185.43923</v>
      </c>
      <c r="E15" s="17">
        <f t="shared" ref="E15:F15" si="5">E5</f>
        <v>172.28440000000001</v>
      </c>
      <c r="F15" s="18">
        <f t="shared" si="5"/>
        <v>203.6</v>
      </c>
      <c r="G15" s="41">
        <f>D15/K6</f>
        <v>20.92719615</v>
      </c>
      <c r="H15" s="41">
        <f t="shared" si="2"/>
        <v>1.018</v>
      </c>
      <c r="I15" s="42">
        <f t="shared" si="3"/>
        <v>21.945196150000001</v>
      </c>
      <c r="L15" s="186"/>
      <c r="M15" s="186"/>
      <c r="N15" s="186"/>
      <c r="O15" s="186"/>
      <c r="P15" s="187"/>
      <c r="Q15" s="187"/>
    </row>
    <row r="16" spans="1:24" ht="15.75" thickBot="1" x14ac:dyDescent="0.3">
      <c r="A16" s="248"/>
      <c r="B16" s="249"/>
      <c r="C16" s="19" t="s">
        <v>142</v>
      </c>
      <c r="D16" s="20">
        <f>D2+D4</f>
        <v>10570.182430000001</v>
      </c>
      <c r="E16" s="20">
        <f t="shared" ref="E16:F16" si="6">E2+E4</f>
        <v>301.67380000000003</v>
      </c>
      <c r="F16" s="21">
        <f t="shared" si="6"/>
        <v>4687.6000000000004</v>
      </c>
      <c r="G16" s="33">
        <f>D16/K7</f>
        <v>8.8084853583333338</v>
      </c>
      <c r="H16" s="33">
        <f t="shared" si="2"/>
        <v>3.9063333333333334</v>
      </c>
      <c r="I16" s="34">
        <f t="shared" si="3"/>
        <v>12.714818691666668</v>
      </c>
    </row>
    <row r="17" spans="1:20" x14ac:dyDescent="0.25">
      <c r="L17" s="119"/>
      <c r="M17" s="119"/>
      <c r="N17" s="119"/>
      <c r="O17" s="119"/>
      <c r="P17" s="119"/>
      <c r="Q17" s="119"/>
    </row>
    <row r="18" spans="1:20" ht="15.75" thickBot="1" x14ac:dyDescent="0.3">
      <c r="L18" s="119"/>
      <c r="M18" s="119"/>
      <c r="N18" s="119"/>
      <c r="O18" s="119"/>
      <c r="P18" s="119"/>
      <c r="Q18" s="119"/>
    </row>
    <row r="19" spans="1:20" ht="19.5" thickBot="1" x14ac:dyDescent="0.3">
      <c r="A19" s="266" t="s">
        <v>34</v>
      </c>
      <c r="B19" s="267"/>
      <c r="C19" s="267"/>
      <c r="D19" s="267"/>
      <c r="E19" s="268"/>
      <c r="F19" s="32"/>
    </row>
    <row r="20" spans="1:20" ht="18.75" x14ac:dyDescent="0.25">
      <c r="A20" s="131" t="s">
        <v>29</v>
      </c>
      <c r="B20" s="7" t="s">
        <v>30</v>
      </c>
      <c r="C20" s="7" t="s">
        <v>54</v>
      </c>
      <c r="D20" s="7" t="s">
        <v>62</v>
      </c>
      <c r="E20" s="132" t="s">
        <v>65</v>
      </c>
      <c r="F20" s="167" t="s">
        <v>131</v>
      </c>
      <c r="G20" s="147" t="s">
        <v>129</v>
      </c>
      <c r="H20" s="10">
        <v>2025</v>
      </c>
      <c r="I20" s="10">
        <v>2026</v>
      </c>
      <c r="J20" s="10">
        <v>2027</v>
      </c>
      <c r="K20" s="10">
        <v>2028</v>
      </c>
      <c r="L20" s="10">
        <v>2029</v>
      </c>
      <c r="M20" s="10">
        <v>2030</v>
      </c>
      <c r="N20" s="10">
        <v>2031</v>
      </c>
      <c r="O20" s="10">
        <v>2032</v>
      </c>
      <c r="P20" s="10">
        <v>2033</v>
      </c>
      <c r="Q20" s="10">
        <v>2034</v>
      </c>
      <c r="R20" s="10">
        <v>2035</v>
      </c>
      <c r="S20" s="10">
        <v>2040</v>
      </c>
      <c r="T20" s="11">
        <v>2050</v>
      </c>
    </row>
    <row r="21" spans="1:20" x14ac:dyDescent="0.25">
      <c r="A21" s="188" t="s">
        <v>79</v>
      </c>
      <c r="B21" s="189" t="s">
        <v>81</v>
      </c>
      <c r="C21" s="189">
        <v>138.5</v>
      </c>
      <c r="D21" s="189"/>
      <c r="E21" s="190">
        <f t="shared" ref="E21:E27" si="7">C21/$C$28</f>
        <v>3.1643270447378725E-2</v>
      </c>
      <c r="F21" s="1" t="s">
        <v>133</v>
      </c>
      <c r="G21" s="142" t="s">
        <v>139</v>
      </c>
      <c r="H21" s="36" t="s">
        <v>66</v>
      </c>
      <c r="I21" s="36" t="s">
        <v>66</v>
      </c>
      <c r="J21" s="36" t="s">
        <v>66</v>
      </c>
      <c r="K21" s="36" t="s">
        <v>66</v>
      </c>
      <c r="L21" s="36" t="s">
        <v>66</v>
      </c>
      <c r="M21" s="36" t="s">
        <v>66</v>
      </c>
      <c r="N21" s="36" t="s">
        <v>66</v>
      </c>
      <c r="O21" s="36" t="s">
        <v>66</v>
      </c>
      <c r="P21" s="36" t="s">
        <v>66</v>
      </c>
      <c r="Q21" s="36" t="s">
        <v>66</v>
      </c>
      <c r="R21" s="36" t="s">
        <v>66</v>
      </c>
      <c r="S21" s="36" t="s">
        <v>66</v>
      </c>
      <c r="T21" s="170" t="s">
        <v>66</v>
      </c>
    </row>
    <row r="22" spans="1:20" x14ac:dyDescent="0.25">
      <c r="A22" s="188" t="s">
        <v>80</v>
      </c>
      <c r="B22" s="189" t="s">
        <v>81</v>
      </c>
      <c r="C22" s="189">
        <v>8.3000000000000007</v>
      </c>
      <c r="D22" s="189"/>
      <c r="E22" s="190">
        <f t="shared" si="7"/>
        <v>1.8963115141750432E-3</v>
      </c>
      <c r="F22" s="1" t="s">
        <v>133</v>
      </c>
      <c r="G22" s="131" t="s">
        <v>140</v>
      </c>
      <c r="H22" s="9">
        <f>D13</f>
        <v>4376.8180000000002</v>
      </c>
      <c r="I22" s="9">
        <f>H22-$K$4</f>
        <v>4176.8180000000002</v>
      </c>
      <c r="J22" s="9">
        <f t="shared" ref="J22:R22" si="8">I22-$K$4</f>
        <v>3976.8180000000002</v>
      </c>
      <c r="K22" s="9">
        <f t="shared" si="8"/>
        <v>3776.8180000000002</v>
      </c>
      <c r="L22" s="9">
        <f t="shared" si="8"/>
        <v>3576.8180000000002</v>
      </c>
      <c r="M22" s="9">
        <f t="shared" si="8"/>
        <v>3376.8180000000002</v>
      </c>
      <c r="N22" s="9">
        <f t="shared" si="8"/>
        <v>3176.8180000000002</v>
      </c>
      <c r="O22" s="37">
        <f t="shared" si="8"/>
        <v>2976.8180000000002</v>
      </c>
      <c r="P22" s="37">
        <f t="shared" si="8"/>
        <v>2776.8180000000002</v>
      </c>
      <c r="Q22" s="37">
        <f t="shared" si="8"/>
        <v>2576.8180000000002</v>
      </c>
      <c r="R22" s="37">
        <f t="shared" si="8"/>
        <v>2376.8180000000002</v>
      </c>
      <c r="S22" s="37">
        <f>R22-5*K4</f>
        <v>1376.8180000000002</v>
      </c>
      <c r="T22" s="143" t="s">
        <v>66</v>
      </c>
    </row>
    <row r="23" spans="1:20" x14ac:dyDescent="0.25">
      <c r="A23" s="188" t="s">
        <v>82</v>
      </c>
      <c r="B23" s="189" t="s">
        <v>83</v>
      </c>
      <c r="C23" s="189">
        <v>63</v>
      </c>
      <c r="D23" s="189"/>
      <c r="E23" s="190">
        <f t="shared" si="7"/>
        <v>1.439368980638888E-2</v>
      </c>
      <c r="F23" s="1" t="s">
        <v>133</v>
      </c>
      <c r="G23" s="131" t="s">
        <v>103</v>
      </c>
      <c r="H23" s="43">
        <f>D14</f>
        <v>10340.718999999999</v>
      </c>
      <c r="I23" s="44">
        <f>H23-$K$5</f>
        <v>9990.7189999999991</v>
      </c>
      <c r="J23" s="44">
        <f t="shared" ref="J23:R23" si="9">I23-$K$5</f>
        <v>9640.7189999999991</v>
      </c>
      <c r="K23" s="44">
        <f t="shared" si="9"/>
        <v>9290.7189999999991</v>
      </c>
      <c r="L23" s="44">
        <f t="shared" si="9"/>
        <v>8940.7189999999991</v>
      </c>
      <c r="M23" s="44">
        <f t="shared" si="9"/>
        <v>8590.7189999999991</v>
      </c>
      <c r="N23" s="44">
        <f t="shared" si="9"/>
        <v>8240.7189999999991</v>
      </c>
      <c r="O23" s="44">
        <f t="shared" si="9"/>
        <v>7890.7189999999991</v>
      </c>
      <c r="P23" s="44">
        <f t="shared" si="9"/>
        <v>7540.7189999999991</v>
      </c>
      <c r="Q23" s="44">
        <f t="shared" si="9"/>
        <v>7190.7189999999991</v>
      </c>
      <c r="R23" s="44">
        <f t="shared" si="9"/>
        <v>6840.7189999999991</v>
      </c>
      <c r="S23" s="38">
        <f>R23-5*K5</f>
        <v>5090.7189999999991</v>
      </c>
      <c r="T23" s="171">
        <f>S23-10*K5</f>
        <v>1590.7189999999991</v>
      </c>
    </row>
    <row r="24" spans="1:20" x14ac:dyDescent="0.25">
      <c r="A24" s="188" t="s">
        <v>84</v>
      </c>
      <c r="B24" s="189" t="s">
        <v>86</v>
      </c>
      <c r="C24" s="189">
        <v>425.5</v>
      </c>
      <c r="D24" s="189"/>
      <c r="E24" s="190">
        <f t="shared" si="7"/>
        <v>9.7214524009816963E-2</v>
      </c>
      <c r="F24" s="1" t="s">
        <v>73</v>
      </c>
      <c r="G24" s="131" t="s">
        <v>141</v>
      </c>
      <c r="H24" s="9">
        <f>D15</f>
        <v>4185.43923</v>
      </c>
      <c r="I24" s="9">
        <f>H24-$K$6</f>
        <v>3985.43923</v>
      </c>
      <c r="J24" s="43">
        <f t="shared" ref="J24:R24" si="10">I24-$K$6</f>
        <v>3785.43923</v>
      </c>
      <c r="K24" s="43">
        <f t="shared" si="10"/>
        <v>3585.43923</v>
      </c>
      <c r="L24" s="43">
        <f t="shared" si="10"/>
        <v>3385.43923</v>
      </c>
      <c r="M24" s="43">
        <f t="shared" si="10"/>
        <v>3185.43923</v>
      </c>
      <c r="N24" s="37">
        <f t="shared" si="10"/>
        <v>2985.43923</v>
      </c>
      <c r="O24" s="37">
        <f t="shared" si="10"/>
        <v>2785.43923</v>
      </c>
      <c r="P24" s="37">
        <f t="shared" si="10"/>
        <v>2585.43923</v>
      </c>
      <c r="Q24" s="37">
        <f t="shared" si="10"/>
        <v>2385.43923</v>
      </c>
      <c r="R24" s="37">
        <f t="shared" si="10"/>
        <v>2185.43923</v>
      </c>
      <c r="S24" s="37">
        <f>R24-5*K6</f>
        <v>1185.43923</v>
      </c>
      <c r="T24" s="143" t="s">
        <v>66</v>
      </c>
    </row>
    <row r="25" spans="1:20" ht="15.75" thickBot="1" x14ac:dyDescent="0.3">
      <c r="A25" s="188" t="s">
        <v>85</v>
      </c>
      <c r="B25" s="189" t="s">
        <v>86</v>
      </c>
      <c r="C25" s="189">
        <v>135.6</v>
      </c>
      <c r="D25" s="189"/>
      <c r="E25" s="190">
        <f t="shared" si="7"/>
        <v>3.0980703773751304E-2</v>
      </c>
      <c r="F25" s="1" t="s">
        <v>73</v>
      </c>
      <c r="G25" s="144" t="s">
        <v>142</v>
      </c>
      <c r="H25" s="145">
        <f>D16</f>
        <v>10570.182430000001</v>
      </c>
      <c r="I25" s="145">
        <f>H25-$K$7</f>
        <v>9370.1824300000007</v>
      </c>
      <c r="J25" s="145">
        <f t="shared" ref="J25:P25" si="11">I25-$K$7</f>
        <v>8170.1824300000007</v>
      </c>
      <c r="K25" s="145">
        <f t="shared" si="11"/>
        <v>6970.1824300000007</v>
      </c>
      <c r="L25" s="145">
        <f t="shared" si="11"/>
        <v>5770.1824300000007</v>
      </c>
      <c r="M25" s="145">
        <f t="shared" si="11"/>
        <v>4570.1824300000007</v>
      </c>
      <c r="N25" s="145">
        <f t="shared" si="11"/>
        <v>3370.1824300000007</v>
      </c>
      <c r="O25" s="145">
        <f t="shared" si="11"/>
        <v>2170.1824300000007</v>
      </c>
      <c r="P25" s="145">
        <f t="shared" si="11"/>
        <v>970.18243000000075</v>
      </c>
      <c r="Q25" s="145" t="s">
        <v>66</v>
      </c>
      <c r="R25" s="145" t="s">
        <v>66</v>
      </c>
      <c r="S25" s="172" t="s">
        <v>66</v>
      </c>
      <c r="T25" s="173" t="s">
        <v>66</v>
      </c>
    </row>
    <row r="26" spans="1:20" ht="15.75" thickBot="1" x14ac:dyDescent="0.3">
      <c r="A26" s="188" t="s">
        <v>87</v>
      </c>
      <c r="B26" s="189" t="s">
        <v>86</v>
      </c>
      <c r="C26" s="189">
        <v>1534.318</v>
      </c>
      <c r="D26" s="189"/>
      <c r="E26" s="190">
        <f t="shared" si="7"/>
        <v>0.35054757708506307</v>
      </c>
      <c r="F26" s="1" t="s">
        <v>133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9.5" thickBot="1" x14ac:dyDescent="0.3">
      <c r="A27" s="191" t="s">
        <v>88</v>
      </c>
      <c r="B27" s="192" t="s">
        <v>83</v>
      </c>
      <c r="C27" s="192">
        <v>2071.6999999999998</v>
      </c>
      <c r="D27" s="192"/>
      <c r="E27" s="193">
        <f t="shared" si="7"/>
        <v>0.47332392336342605</v>
      </c>
      <c r="F27" s="1" t="s">
        <v>132</v>
      </c>
      <c r="G27" s="147" t="s">
        <v>136</v>
      </c>
      <c r="H27" s="10">
        <v>2025</v>
      </c>
      <c r="I27" s="10">
        <v>2026</v>
      </c>
      <c r="J27" s="10">
        <v>2027</v>
      </c>
      <c r="K27" s="10">
        <v>2028</v>
      </c>
      <c r="L27" s="10">
        <v>2029</v>
      </c>
      <c r="M27" s="10">
        <v>2030</v>
      </c>
      <c r="N27" s="10">
        <v>2031</v>
      </c>
      <c r="O27" s="10">
        <v>2032</v>
      </c>
      <c r="P27" s="10">
        <v>2033</v>
      </c>
      <c r="Q27" s="10">
        <v>2034</v>
      </c>
      <c r="R27" s="10">
        <v>2035</v>
      </c>
      <c r="S27" s="10">
        <v>2040</v>
      </c>
      <c r="T27" s="11">
        <v>2050</v>
      </c>
    </row>
    <row r="28" spans="1:20" x14ac:dyDescent="0.25">
      <c r="A28" s="120"/>
      <c r="B28" s="120" t="s">
        <v>20</v>
      </c>
      <c r="C28" s="120">
        <f>SUM(C21:C27)</f>
        <v>4376.9179999999997</v>
      </c>
      <c r="D28" s="120"/>
      <c r="E28" s="120"/>
      <c r="G28" s="142" t="s">
        <v>139</v>
      </c>
      <c r="H28" s="37" t="s">
        <v>66</v>
      </c>
      <c r="I28" s="37" t="s">
        <v>66</v>
      </c>
      <c r="J28" s="37" t="s">
        <v>66</v>
      </c>
      <c r="K28" s="37" t="s">
        <v>66</v>
      </c>
      <c r="L28" s="37" t="s">
        <v>66</v>
      </c>
      <c r="M28" s="37" t="s">
        <v>66</v>
      </c>
      <c r="N28" s="37" t="s">
        <v>66</v>
      </c>
      <c r="O28" s="37" t="s">
        <v>66</v>
      </c>
      <c r="P28" s="37" t="s">
        <v>66</v>
      </c>
      <c r="Q28" s="37" t="s">
        <v>66</v>
      </c>
      <c r="R28" s="37" t="s">
        <v>66</v>
      </c>
      <c r="S28" s="37" t="s">
        <v>66</v>
      </c>
      <c r="T28" s="143" t="s">
        <v>66</v>
      </c>
    </row>
    <row r="29" spans="1:20" ht="15.75" thickBot="1" x14ac:dyDescent="0.3">
      <c r="A29" s="120"/>
      <c r="B29" s="120"/>
      <c r="C29" s="120"/>
      <c r="D29" s="120"/>
      <c r="E29" s="120"/>
      <c r="G29" s="131" t="s">
        <v>140</v>
      </c>
      <c r="H29" s="9">
        <f>D13</f>
        <v>4376.8180000000002</v>
      </c>
      <c r="I29" s="9">
        <f>H29-$K$4</f>
        <v>4176.8180000000002</v>
      </c>
      <c r="J29" s="9">
        <f>I29-$K$4</f>
        <v>3976.8180000000002</v>
      </c>
      <c r="K29" s="9">
        <f>J29+F13-K4</f>
        <v>4629.8180000000002</v>
      </c>
      <c r="L29" s="9">
        <f>K29-$K$4</f>
        <v>4429.8180000000002</v>
      </c>
      <c r="M29" s="9">
        <f t="shared" ref="M29:R29" si="12">L29-$K$4</f>
        <v>4229.8180000000002</v>
      </c>
      <c r="N29" s="9">
        <f t="shared" si="12"/>
        <v>4029.8180000000002</v>
      </c>
      <c r="O29" s="9">
        <f t="shared" si="12"/>
        <v>3829.8180000000002</v>
      </c>
      <c r="P29" s="9">
        <f t="shared" si="12"/>
        <v>3629.8180000000002</v>
      </c>
      <c r="Q29" s="9">
        <f t="shared" si="12"/>
        <v>3429.8180000000002</v>
      </c>
      <c r="R29" s="9">
        <f t="shared" si="12"/>
        <v>3229.8180000000002</v>
      </c>
      <c r="S29" s="37">
        <f>R29-5*K4</f>
        <v>2229.8180000000002</v>
      </c>
      <c r="T29" s="143">
        <f>S29-10*K4</f>
        <v>229.81800000000021</v>
      </c>
    </row>
    <row r="30" spans="1:20" ht="18.75" x14ac:dyDescent="0.25">
      <c r="A30" s="228" t="s">
        <v>55</v>
      </c>
      <c r="B30" s="229"/>
      <c r="C30" s="229"/>
      <c r="D30" s="229"/>
      <c r="E30" s="230"/>
      <c r="G30" s="131" t="s">
        <v>103</v>
      </c>
      <c r="H30" s="9">
        <f>D14</f>
        <v>10340.718999999999</v>
      </c>
      <c r="I30" s="9">
        <f>H30-$K$5</f>
        <v>9990.7189999999991</v>
      </c>
      <c r="J30" s="9">
        <f>I30+F14-K5</f>
        <v>13516.718999999999</v>
      </c>
      <c r="K30" s="9">
        <f>J30-$K$5</f>
        <v>13166.718999999999</v>
      </c>
      <c r="L30" s="9">
        <f t="shared" ref="L30:R30" si="13">K30-$K$5</f>
        <v>12816.718999999999</v>
      </c>
      <c r="M30" s="9">
        <f t="shared" si="13"/>
        <v>12466.718999999999</v>
      </c>
      <c r="N30" s="9">
        <f t="shared" si="13"/>
        <v>12116.718999999999</v>
      </c>
      <c r="O30" s="9">
        <f t="shared" si="13"/>
        <v>11766.718999999999</v>
      </c>
      <c r="P30" s="9">
        <f t="shared" si="13"/>
        <v>11416.718999999999</v>
      </c>
      <c r="Q30" s="9">
        <f t="shared" si="13"/>
        <v>11066.718999999999</v>
      </c>
      <c r="R30" s="9">
        <f t="shared" si="13"/>
        <v>10716.718999999999</v>
      </c>
      <c r="S30" s="9">
        <f>R30-5*K5</f>
        <v>8966.7189999999991</v>
      </c>
      <c r="T30" s="22">
        <f>S30-10*K5</f>
        <v>5466.7189999999991</v>
      </c>
    </row>
    <row r="31" spans="1:20" x14ac:dyDescent="0.25">
      <c r="A31" s="131" t="s">
        <v>29</v>
      </c>
      <c r="B31" s="7" t="s">
        <v>30</v>
      </c>
      <c r="C31" s="7" t="s">
        <v>54</v>
      </c>
      <c r="D31" s="7" t="s">
        <v>62</v>
      </c>
      <c r="E31" s="132" t="s">
        <v>65</v>
      </c>
      <c r="G31" s="131" t="s">
        <v>141</v>
      </c>
      <c r="H31" s="9">
        <f>D15</f>
        <v>4185.43923</v>
      </c>
      <c r="I31" s="9">
        <f>H31-K6</f>
        <v>3985.43923</v>
      </c>
      <c r="J31" s="9">
        <f>I31+F15-K6</f>
        <v>3989.0392300000003</v>
      </c>
      <c r="K31" s="9">
        <f>J31-$K$6</f>
        <v>3789.0392300000003</v>
      </c>
      <c r="L31" s="9">
        <f t="shared" ref="L31:R31" si="14">K31-$K$6</f>
        <v>3589.0392300000003</v>
      </c>
      <c r="M31" s="9">
        <f t="shared" si="14"/>
        <v>3389.0392300000003</v>
      </c>
      <c r="N31" s="9">
        <f t="shared" si="14"/>
        <v>3189.0392300000003</v>
      </c>
      <c r="O31" s="37">
        <f t="shared" si="14"/>
        <v>2989.0392300000003</v>
      </c>
      <c r="P31" s="37">
        <f t="shared" si="14"/>
        <v>2789.0392300000003</v>
      </c>
      <c r="Q31" s="37">
        <f t="shared" si="14"/>
        <v>2589.0392300000003</v>
      </c>
      <c r="R31" s="37">
        <f t="shared" si="14"/>
        <v>2389.0392300000003</v>
      </c>
      <c r="S31" s="37">
        <f>R31-5*K6</f>
        <v>1389.0392300000003</v>
      </c>
      <c r="T31" s="143" t="s">
        <v>66</v>
      </c>
    </row>
    <row r="32" spans="1:20" ht="15.75" thickBot="1" x14ac:dyDescent="0.3">
      <c r="A32" s="191" t="s">
        <v>78</v>
      </c>
      <c r="B32" s="192" t="s">
        <v>52</v>
      </c>
      <c r="C32" s="192">
        <v>853</v>
      </c>
      <c r="D32" s="192"/>
      <c r="E32" s="193">
        <f>C32/C33</f>
        <v>1</v>
      </c>
      <c r="F32" s="1" t="s">
        <v>73</v>
      </c>
      <c r="G32" s="144" t="s">
        <v>142</v>
      </c>
      <c r="H32" s="145">
        <f>D16</f>
        <v>10570.182430000001</v>
      </c>
      <c r="I32" s="145">
        <f>H32-K7</f>
        <v>9370.1824300000007</v>
      </c>
      <c r="J32" s="145">
        <f>I32+F16-K7</f>
        <v>12857.782430000001</v>
      </c>
      <c r="K32" s="145">
        <f>J32+C66-K7</f>
        <v>11657.782430000001</v>
      </c>
      <c r="L32" s="145">
        <f>K32-$K$7</f>
        <v>10457.782430000001</v>
      </c>
      <c r="M32" s="145">
        <f t="shared" ref="M32:R32" si="15">L32-$K$7</f>
        <v>9257.7824300000011</v>
      </c>
      <c r="N32" s="145">
        <f t="shared" si="15"/>
        <v>8057.7824300000011</v>
      </c>
      <c r="O32" s="145">
        <f t="shared" si="15"/>
        <v>6857.7824300000011</v>
      </c>
      <c r="P32" s="145">
        <f t="shared" si="15"/>
        <v>5657.7824300000011</v>
      </c>
      <c r="Q32" s="145">
        <f t="shared" si="15"/>
        <v>4457.7824300000011</v>
      </c>
      <c r="R32" s="145">
        <f t="shared" si="15"/>
        <v>3257.7824300000011</v>
      </c>
      <c r="S32" s="145" t="s">
        <v>66</v>
      </c>
      <c r="T32" s="146" t="s">
        <v>66</v>
      </c>
    </row>
    <row r="33" spans="1:17" ht="15.75" thickBot="1" x14ac:dyDescent="0.3">
      <c r="A33" s="120"/>
      <c r="B33" s="120" t="s">
        <v>20</v>
      </c>
      <c r="C33" s="120">
        <f>SUM(C32)</f>
        <v>853</v>
      </c>
      <c r="D33" s="120"/>
      <c r="E33" s="120"/>
      <c r="M33" s="5"/>
      <c r="N33" s="5"/>
      <c r="O33" s="5"/>
      <c r="P33" s="5"/>
      <c r="Q33" s="5"/>
    </row>
    <row r="34" spans="1:17" ht="19.5" thickBot="1" x14ac:dyDescent="0.3">
      <c r="A34" s="120"/>
      <c r="B34" s="120"/>
      <c r="C34" s="120"/>
      <c r="D34" s="120"/>
      <c r="E34" s="120"/>
      <c r="G34" s="228" t="s">
        <v>97</v>
      </c>
      <c r="H34" s="229"/>
      <c r="I34" s="229"/>
      <c r="J34" s="229"/>
      <c r="K34" s="230"/>
      <c r="L34" s="2" t="s">
        <v>130</v>
      </c>
      <c r="M34" s="2"/>
      <c r="N34" s="2"/>
      <c r="O34" s="2"/>
      <c r="P34" s="2"/>
      <c r="Q34" s="27"/>
    </row>
    <row r="35" spans="1:17" ht="18.75" x14ac:dyDescent="0.25">
      <c r="A35" s="228" t="s">
        <v>72</v>
      </c>
      <c r="B35" s="229"/>
      <c r="C35" s="229"/>
      <c r="D35" s="229"/>
      <c r="E35" s="230"/>
      <c r="G35" s="148" t="s">
        <v>98</v>
      </c>
      <c r="H35" s="7">
        <v>2025</v>
      </c>
      <c r="I35" s="7">
        <v>2026</v>
      </c>
      <c r="J35" s="7">
        <v>2027</v>
      </c>
      <c r="K35" s="132" t="s">
        <v>20</v>
      </c>
      <c r="L35" s="117" t="s">
        <v>120</v>
      </c>
      <c r="M35" s="2"/>
      <c r="N35" s="2"/>
      <c r="O35" s="2"/>
      <c r="P35" s="2"/>
      <c r="Q35" s="27"/>
    </row>
    <row r="36" spans="1:17" x14ac:dyDescent="0.25">
      <c r="A36" s="131" t="s">
        <v>29</v>
      </c>
      <c r="B36" s="7" t="s">
        <v>30</v>
      </c>
      <c r="C36" s="7" t="s">
        <v>54</v>
      </c>
      <c r="D36" s="7" t="s">
        <v>62</v>
      </c>
      <c r="E36" s="132" t="s">
        <v>65</v>
      </c>
      <c r="G36" s="142" t="s">
        <v>139</v>
      </c>
      <c r="H36" s="45">
        <v>201</v>
      </c>
      <c r="I36" s="45">
        <v>201</v>
      </c>
      <c r="J36" s="45">
        <v>201</v>
      </c>
      <c r="K36" s="134">
        <f t="shared" ref="K36:K37" si="16">SUM(H36:J36)</f>
        <v>603</v>
      </c>
      <c r="L36" s="194">
        <f>K36/5</f>
        <v>120.6</v>
      </c>
      <c r="M36" s="2"/>
      <c r="N36" s="3"/>
      <c r="O36" s="2"/>
      <c r="P36" s="2"/>
      <c r="Q36" s="27"/>
    </row>
    <row r="37" spans="1:17" x14ac:dyDescent="0.25">
      <c r="A37" s="188" t="s">
        <v>82</v>
      </c>
      <c r="B37" s="189" t="s">
        <v>83</v>
      </c>
      <c r="C37" s="189">
        <v>766.63699999999994</v>
      </c>
      <c r="D37" s="189"/>
      <c r="E37" s="190">
        <f>C37/$C$41</f>
        <v>0.21518807557435687</v>
      </c>
      <c r="F37" s="51" t="s">
        <v>133</v>
      </c>
      <c r="G37" s="131" t="s">
        <v>140</v>
      </c>
      <c r="H37" s="45">
        <v>1075</v>
      </c>
      <c r="I37" s="45">
        <v>1075</v>
      </c>
      <c r="J37" s="45">
        <v>1075</v>
      </c>
      <c r="K37" s="134">
        <f t="shared" si="16"/>
        <v>3225</v>
      </c>
      <c r="L37" s="194">
        <f t="shared" ref="L37:L38" si="17">K37/5</f>
        <v>645</v>
      </c>
      <c r="N37" s="3"/>
      <c r="O37" s="26"/>
    </row>
    <row r="38" spans="1:17" ht="15.75" thickBot="1" x14ac:dyDescent="0.3">
      <c r="A38" s="188" t="s">
        <v>89</v>
      </c>
      <c r="B38" s="189" t="s">
        <v>90</v>
      </c>
      <c r="C38" s="189">
        <v>1312</v>
      </c>
      <c r="D38" s="189"/>
      <c r="E38" s="190">
        <f>C38/$C$41</f>
        <v>0.36826653964465089</v>
      </c>
      <c r="F38" s="1" t="s">
        <v>133</v>
      </c>
      <c r="G38" s="144" t="s">
        <v>143</v>
      </c>
      <c r="H38" s="135">
        <v>2251</v>
      </c>
      <c r="I38" s="135">
        <v>2251</v>
      </c>
      <c r="J38" s="135">
        <v>2251</v>
      </c>
      <c r="K38" s="141">
        <f>SUM(H38:J38)</f>
        <v>6753</v>
      </c>
      <c r="L38" s="194">
        <f t="shared" si="17"/>
        <v>1350.6</v>
      </c>
      <c r="N38" s="2"/>
    </row>
    <row r="39" spans="1:17" ht="15.75" thickBot="1" x14ac:dyDescent="0.3">
      <c r="A39" s="188" t="s">
        <v>84</v>
      </c>
      <c r="B39" s="189" t="s">
        <v>86</v>
      </c>
      <c r="C39" s="189">
        <v>1351.1</v>
      </c>
      <c r="D39" s="189"/>
      <c r="E39" s="190">
        <f>C39/$C$41</f>
        <v>0.37924155618436567</v>
      </c>
      <c r="F39" s="1" t="s">
        <v>73</v>
      </c>
    </row>
    <row r="40" spans="1:17" ht="19.5" thickBot="1" x14ac:dyDescent="0.3">
      <c r="A40" s="191" t="s">
        <v>85</v>
      </c>
      <c r="B40" s="192" t="s">
        <v>86</v>
      </c>
      <c r="C40" s="192">
        <v>132.9</v>
      </c>
      <c r="D40" s="192"/>
      <c r="E40" s="193">
        <f>C40/$C$41</f>
        <v>3.7303828596626606E-2</v>
      </c>
      <c r="F40" s="1" t="s">
        <v>73</v>
      </c>
      <c r="G40" s="228" t="s">
        <v>100</v>
      </c>
      <c r="H40" s="229"/>
      <c r="I40" s="229"/>
      <c r="J40" s="229"/>
      <c r="K40" s="229"/>
      <c r="L40" s="230"/>
      <c r="M40" s="25"/>
    </row>
    <row r="41" spans="1:17" x14ac:dyDescent="0.25">
      <c r="A41" s="120"/>
      <c r="B41" s="120" t="s">
        <v>20</v>
      </c>
      <c r="C41" s="120">
        <f>SUM(C37:C40)</f>
        <v>3562.6369999999997</v>
      </c>
      <c r="D41" s="120"/>
      <c r="E41" s="120"/>
      <c r="G41" s="131" t="s">
        <v>29</v>
      </c>
      <c r="H41" s="7" t="s">
        <v>99</v>
      </c>
      <c r="I41" s="7" t="s">
        <v>54</v>
      </c>
      <c r="J41" s="7" t="s">
        <v>65</v>
      </c>
      <c r="K41" s="7" t="s">
        <v>9</v>
      </c>
      <c r="L41" s="132" t="s">
        <v>107</v>
      </c>
      <c r="M41" s="5"/>
      <c r="N41" s="5"/>
      <c r="O41" s="5"/>
      <c r="P41" s="5"/>
      <c r="Q41" s="5"/>
    </row>
    <row r="42" spans="1:17" ht="15.75" thickBot="1" x14ac:dyDescent="0.3">
      <c r="A42" s="120"/>
      <c r="B42" s="120"/>
      <c r="C42" s="120"/>
      <c r="D42" s="120"/>
      <c r="E42" s="120"/>
      <c r="G42" s="264" t="s">
        <v>84</v>
      </c>
      <c r="H42" s="8" t="s">
        <v>70</v>
      </c>
      <c r="I42" s="8">
        <v>425.4</v>
      </c>
      <c r="J42" s="47">
        <f>I42/D13</f>
        <v>9.7193897484428179E-2</v>
      </c>
      <c r="K42" s="8">
        <v>31.6</v>
      </c>
      <c r="L42" s="168">
        <f>I42/K42</f>
        <v>13.462025316455694</v>
      </c>
      <c r="M42" s="2"/>
      <c r="N42" s="2"/>
      <c r="Q42" s="27"/>
    </row>
    <row r="43" spans="1:17" ht="18.75" x14ac:dyDescent="0.25">
      <c r="A43" s="228" t="s">
        <v>71</v>
      </c>
      <c r="B43" s="229"/>
      <c r="C43" s="229"/>
      <c r="D43" s="229"/>
      <c r="E43" s="230"/>
      <c r="G43" s="264"/>
      <c r="H43" s="8" t="s">
        <v>101</v>
      </c>
      <c r="I43" s="8">
        <v>1351.1</v>
      </c>
      <c r="J43" s="47">
        <f>I43/D13</f>
        <v>0.30869458131455313</v>
      </c>
      <c r="K43" s="8">
        <v>56.9</v>
      </c>
      <c r="L43" s="168">
        <f t="shared" ref="L43:L46" si="18">I43/K43</f>
        <v>23.745166959578206</v>
      </c>
      <c r="M43" s="2"/>
      <c r="N43" s="2"/>
      <c r="Q43" s="27"/>
    </row>
    <row r="44" spans="1:17" x14ac:dyDescent="0.25">
      <c r="A44" s="131" t="s">
        <v>29</v>
      </c>
      <c r="B44" s="7" t="s">
        <v>30</v>
      </c>
      <c r="C44" s="7" t="s">
        <v>54</v>
      </c>
      <c r="D44" s="7" t="s">
        <v>62</v>
      </c>
      <c r="E44" s="132" t="s">
        <v>65</v>
      </c>
      <c r="G44" s="264" t="s">
        <v>85</v>
      </c>
      <c r="H44" s="8" t="s">
        <v>70</v>
      </c>
      <c r="I44" s="8">
        <v>135.6</v>
      </c>
      <c r="J44" s="47">
        <f>I44/D13</f>
        <v>3.0981411609986978E-2</v>
      </c>
      <c r="K44" s="8">
        <v>80.599999999999994</v>
      </c>
      <c r="L44" s="168">
        <f t="shared" si="18"/>
        <v>1.6823821339950373</v>
      </c>
      <c r="M44" s="2"/>
    </row>
    <row r="45" spans="1:17" x14ac:dyDescent="0.25">
      <c r="A45" s="188" t="s">
        <v>91</v>
      </c>
      <c r="B45" s="189" t="s">
        <v>92</v>
      </c>
      <c r="C45" s="189">
        <v>1622</v>
      </c>
      <c r="D45" s="189"/>
      <c r="E45" s="190">
        <f>C45/$C$47</f>
        <v>0.54102735156771176</v>
      </c>
      <c r="F45" s="1" t="s">
        <v>133</v>
      </c>
      <c r="G45" s="264"/>
      <c r="H45" s="8" t="s">
        <v>101</v>
      </c>
      <c r="I45" s="8">
        <v>132.9</v>
      </c>
      <c r="J45" s="47">
        <f>I45/D13</f>
        <v>3.0364525095628835E-2</v>
      </c>
      <c r="K45" s="8">
        <v>7.9</v>
      </c>
      <c r="L45" s="168">
        <f t="shared" si="18"/>
        <v>16.822784810126581</v>
      </c>
      <c r="M45" s="2"/>
    </row>
    <row r="46" spans="1:17" ht="15.75" thickBot="1" x14ac:dyDescent="0.3">
      <c r="A46" s="191" t="s">
        <v>78</v>
      </c>
      <c r="B46" s="192" t="s">
        <v>52</v>
      </c>
      <c r="C46" s="192">
        <v>1376</v>
      </c>
      <c r="D46" s="192"/>
      <c r="E46" s="193">
        <f>C46/$C$47</f>
        <v>0.45897264843228819</v>
      </c>
      <c r="F46" s="1" t="s">
        <v>73</v>
      </c>
      <c r="G46" s="131" t="s">
        <v>102</v>
      </c>
      <c r="H46" s="8" t="s">
        <v>103</v>
      </c>
      <c r="I46" s="8">
        <f>492.632+707.169</f>
        <v>1199.8009999999999</v>
      </c>
      <c r="J46" s="47">
        <f>I46/D14</f>
        <v>0.11602684494182658</v>
      </c>
      <c r="K46" s="8">
        <v>76.900000000000006</v>
      </c>
      <c r="L46" s="168">
        <f t="shared" si="18"/>
        <v>15.602093628088424</v>
      </c>
      <c r="M46" s="2"/>
    </row>
    <row r="47" spans="1:17" x14ac:dyDescent="0.25">
      <c r="A47" s="120"/>
      <c r="B47" s="120" t="s">
        <v>20</v>
      </c>
      <c r="C47" s="120">
        <f>SUM(C45:C46)</f>
        <v>2998</v>
      </c>
      <c r="D47" s="120"/>
      <c r="E47" s="195"/>
      <c r="G47" s="264" t="s">
        <v>20</v>
      </c>
      <c r="H47" s="7" t="s">
        <v>70</v>
      </c>
      <c r="I47" s="55">
        <f>SUM(I42:I45)</f>
        <v>2045</v>
      </c>
      <c r="J47" s="48">
        <f>J42+J43+J44+J45</f>
        <v>0.4672344155045971</v>
      </c>
      <c r="K47" s="35">
        <f>SUM(K42:K45)</f>
        <v>177</v>
      </c>
      <c r="L47" s="174">
        <f>I47/K47</f>
        <v>11.55367231638418</v>
      </c>
      <c r="M47" s="2"/>
    </row>
    <row r="48" spans="1:17" ht="15.75" thickBot="1" x14ac:dyDescent="0.3">
      <c r="A48" s="196"/>
      <c r="B48" s="196"/>
      <c r="C48" s="196"/>
      <c r="D48" s="196"/>
      <c r="E48" s="27"/>
      <c r="G48" s="265"/>
      <c r="H48" s="175" t="s">
        <v>3</v>
      </c>
      <c r="I48" s="176">
        <f>I46</f>
        <v>1199.8009999999999</v>
      </c>
      <c r="J48" s="177">
        <f>J46</f>
        <v>0.11602684494182658</v>
      </c>
      <c r="K48" s="178">
        <f>K46</f>
        <v>76.900000000000006</v>
      </c>
      <c r="L48" s="179">
        <f>I48/K48</f>
        <v>15.602093628088424</v>
      </c>
      <c r="M48" s="2"/>
    </row>
    <row r="49" spans="7:20" ht="15.75" thickBot="1" x14ac:dyDescent="0.3"/>
    <row r="50" spans="7:20" ht="18.75" x14ac:dyDescent="0.25">
      <c r="G50" s="147" t="s">
        <v>105</v>
      </c>
      <c r="H50" s="10">
        <v>2025</v>
      </c>
      <c r="I50" s="10">
        <v>2026</v>
      </c>
      <c r="J50" s="10">
        <v>2027</v>
      </c>
      <c r="K50" s="10">
        <v>2028</v>
      </c>
      <c r="L50" s="10">
        <v>2029</v>
      </c>
      <c r="M50" s="10">
        <v>2030</v>
      </c>
      <c r="N50" s="10">
        <v>2031</v>
      </c>
      <c r="O50" s="10">
        <v>2032</v>
      </c>
      <c r="P50" s="10">
        <v>2033</v>
      </c>
      <c r="Q50" s="10">
        <v>2034</v>
      </c>
      <c r="R50" s="10">
        <v>2035</v>
      </c>
      <c r="S50" s="10">
        <v>2040</v>
      </c>
      <c r="T50" s="11">
        <v>2050</v>
      </c>
    </row>
    <row r="51" spans="7:20" x14ac:dyDescent="0.25">
      <c r="G51" s="142" t="s">
        <v>139</v>
      </c>
      <c r="H51" s="37" t="str">
        <f>H21</f>
        <v>-</v>
      </c>
      <c r="I51" s="37" t="s">
        <v>66</v>
      </c>
      <c r="J51" s="37" t="s">
        <v>66</v>
      </c>
      <c r="K51" s="37" t="s">
        <v>66</v>
      </c>
      <c r="L51" s="37" t="s">
        <v>66</v>
      </c>
      <c r="M51" s="37" t="s">
        <v>66</v>
      </c>
      <c r="N51" s="37" t="s">
        <v>66</v>
      </c>
      <c r="O51" s="37" t="s">
        <v>66</v>
      </c>
      <c r="P51" s="37" t="s">
        <v>66</v>
      </c>
      <c r="Q51" s="37" t="s">
        <v>66</v>
      </c>
      <c r="R51" s="37" t="s">
        <v>66</v>
      </c>
      <c r="S51" s="37" t="s">
        <v>66</v>
      </c>
      <c r="T51" s="143" t="s">
        <v>66</v>
      </c>
    </row>
    <row r="52" spans="7:20" x14ac:dyDescent="0.25">
      <c r="G52" s="131" t="s">
        <v>140</v>
      </c>
      <c r="H52" s="37">
        <f t="shared" ref="H52:H55" si="19">H22</f>
        <v>4376.8180000000002</v>
      </c>
      <c r="I52" s="37">
        <f>H52-H37-$E$13</f>
        <v>3138.3700000000003</v>
      </c>
      <c r="J52" s="37">
        <f>I52-I37-$E$13</f>
        <v>1899.9220000000003</v>
      </c>
      <c r="K52" s="37">
        <f>J52-$E$13-J37</f>
        <v>661.47400000000016</v>
      </c>
      <c r="L52" s="37">
        <f t="shared" ref="L52:O52" si="20">K52-$E$13</f>
        <v>498.02600000000018</v>
      </c>
      <c r="M52" s="37">
        <f t="shared" si="20"/>
        <v>334.5780000000002</v>
      </c>
      <c r="N52" s="37">
        <f t="shared" si="20"/>
        <v>171.13000000000019</v>
      </c>
      <c r="O52" s="37">
        <f t="shared" si="20"/>
        <v>7.6820000000001869</v>
      </c>
      <c r="P52" s="37" t="s">
        <v>66</v>
      </c>
      <c r="Q52" s="37" t="s">
        <v>66</v>
      </c>
      <c r="R52" s="37" t="s">
        <v>66</v>
      </c>
      <c r="S52" s="37" t="s">
        <v>66</v>
      </c>
      <c r="T52" s="143" t="s">
        <v>66</v>
      </c>
    </row>
    <row r="53" spans="7:20" x14ac:dyDescent="0.25">
      <c r="G53" s="131" t="s">
        <v>103</v>
      </c>
      <c r="H53" s="43">
        <f t="shared" si="19"/>
        <v>10340.718999999999</v>
      </c>
      <c r="I53" s="43">
        <f>H53-0.1*H38-$E$14</f>
        <v>9905.2899999999991</v>
      </c>
      <c r="J53" s="43">
        <f>I53-0.1*I38-$E$14</f>
        <v>9469.860999999999</v>
      </c>
      <c r="K53" s="43">
        <f>J53-$E$14-0.1*J38</f>
        <v>9034.4319999999989</v>
      </c>
      <c r="L53" s="43">
        <f t="shared" ref="L53:R53" si="21">K53-$E$14</f>
        <v>8824.1029999999992</v>
      </c>
      <c r="M53" s="43">
        <f t="shared" si="21"/>
        <v>8613.7739999999994</v>
      </c>
      <c r="N53" s="43">
        <f t="shared" si="21"/>
        <v>8403.4449999999997</v>
      </c>
      <c r="O53" s="43">
        <f t="shared" si="21"/>
        <v>8193.116</v>
      </c>
      <c r="P53" s="43">
        <f t="shared" si="21"/>
        <v>7982.7870000000003</v>
      </c>
      <c r="Q53" s="43">
        <f t="shared" si="21"/>
        <v>7772.4580000000005</v>
      </c>
      <c r="R53" s="43">
        <f t="shared" si="21"/>
        <v>7562.1290000000008</v>
      </c>
      <c r="S53" s="43">
        <f>R53-5*E14</f>
        <v>6510.4840000000004</v>
      </c>
      <c r="T53" s="180">
        <f>S53-10*E14</f>
        <v>4407.1940000000004</v>
      </c>
    </row>
    <row r="54" spans="7:20" x14ac:dyDescent="0.25">
      <c r="G54" s="131" t="s">
        <v>141</v>
      </c>
      <c r="H54" s="37">
        <f t="shared" si="19"/>
        <v>4185.43923</v>
      </c>
      <c r="I54" s="37">
        <f>H54-0.1*H38-$E$15</f>
        <v>3788.05483</v>
      </c>
      <c r="J54" s="37">
        <f>I54-0.1*I38-$E$15</f>
        <v>3390.6704300000001</v>
      </c>
      <c r="K54" s="37">
        <f>J54-$E$15-0.1*J38</f>
        <v>2993.2860300000002</v>
      </c>
      <c r="L54" s="37">
        <f t="shared" ref="L54:R54" si="22">K54-$E$15</f>
        <v>2821.0016300000002</v>
      </c>
      <c r="M54" s="37">
        <f t="shared" si="22"/>
        <v>2648.7172300000002</v>
      </c>
      <c r="N54" s="37">
        <f t="shared" si="22"/>
        <v>2476.4328300000002</v>
      </c>
      <c r="O54" s="37">
        <f t="shared" si="22"/>
        <v>2304.1484300000002</v>
      </c>
      <c r="P54" s="37">
        <f t="shared" si="22"/>
        <v>2131.8640300000002</v>
      </c>
      <c r="Q54" s="37">
        <f t="shared" si="22"/>
        <v>1959.5796300000002</v>
      </c>
      <c r="R54" s="37">
        <f t="shared" si="22"/>
        <v>1787.2952300000002</v>
      </c>
      <c r="S54" s="37">
        <f>R54-5*E15</f>
        <v>925.87323000000015</v>
      </c>
      <c r="T54" s="143" t="s">
        <v>66</v>
      </c>
    </row>
    <row r="55" spans="7:20" ht="15.75" thickBot="1" x14ac:dyDescent="0.3">
      <c r="G55" s="144" t="s">
        <v>142</v>
      </c>
      <c r="H55" s="145">
        <f t="shared" si="19"/>
        <v>10570.182430000001</v>
      </c>
      <c r="I55" s="145">
        <f>H55-0.8*H38-L11</f>
        <v>7676.983430000002</v>
      </c>
      <c r="J55" s="145">
        <f>I55-0.8*I38-M11</f>
        <v>4837.1534300000021</v>
      </c>
      <c r="K55" s="145">
        <f>J55-0.8*J38-N11</f>
        <v>1997.3444300000019</v>
      </c>
      <c r="L55" s="145">
        <f>K55-$P$11</f>
        <v>1411.706430000002</v>
      </c>
      <c r="M55" s="145">
        <f t="shared" ref="M55" si="23">L55-$P$11</f>
        <v>826.06843000000197</v>
      </c>
      <c r="N55" s="145" t="s">
        <v>66</v>
      </c>
      <c r="O55" s="145" t="s">
        <v>66</v>
      </c>
      <c r="P55" s="145" t="s">
        <v>66</v>
      </c>
      <c r="Q55" s="145" t="s">
        <v>66</v>
      </c>
      <c r="R55" s="145" t="s">
        <v>66</v>
      </c>
      <c r="S55" s="145" t="s">
        <v>66</v>
      </c>
      <c r="T55" s="146" t="s">
        <v>66</v>
      </c>
    </row>
    <row r="56" spans="7:20" ht="15.75" thickBot="1" x14ac:dyDescent="0.3">
      <c r="I56" s="51"/>
    </row>
    <row r="57" spans="7:20" ht="18.75" x14ac:dyDescent="0.25">
      <c r="G57" s="147" t="s">
        <v>135</v>
      </c>
      <c r="H57" s="10">
        <v>2025</v>
      </c>
      <c r="I57" s="10">
        <v>2026</v>
      </c>
      <c r="J57" s="10">
        <v>2027</v>
      </c>
      <c r="K57" s="10">
        <v>2028</v>
      </c>
      <c r="L57" s="10">
        <v>2029</v>
      </c>
      <c r="M57" s="10">
        <v>2030</v>
      </c>
      <c r="N57" s="10">
        <v>2031</v>
      </c>
      <c r="O57" s="10">
        <v>2032</v>
      </c>
      <c r="P57" s="10">
        <v>2033</v>
      </c>
      <c r="Q57" s="10">
        <v>2034</v>
      </c>
      <c r="R57" s="10">
        <v>2035</v>
      </c>
      <c r="S57" s="10">
        <v>2040</v>
      </c>
      <c r="T57" s="11">
        <v>2050</v>
      </c>
    </row>
    <row r="58" spans="7:20" x14ac:dyDescent="0.25">
      <c r="G58" s="142" t="s">
        <v>139</v>
      </c>
      <c r="H58" s="37" t="str">
        <f>H51</f>
        <v>-</v>
      </c>
      <c r="I58" s="37" t="s">
        <v>66</v>
      </c>
      <c r="J58" s="37" t="s">
        <v>66</v>
      </c>
      <c r="K58" s="37" t="s">
        <v>66</v>
      </c>
      <c r="L58" s="37" t="s">
        <v>66</v>
      </c>
      <c r="M58" s="37" t="s">
        <v>66</v>
      </c>
      <c r="N58" s="37" t="s">
        <v>66</v>
      </c>
      <c r="O58" s="37" t="s">
        <v>66</v>
      </c>
      <c r="P58" s="37" t="s">
        <v>66</v>
      </c>
      <c r="Q58" s="37" t="s">
        <v>66</v>
      </c>
      <c r="R58" s="37" t="s">
        <v>66</v>
      </c>
      <c r="S58" s="37" t="s">
        <v>66</v>
      </c>
      <c r="T58" s="143" t="s">
        <v>66</v>
      </c>
    </row>
    <row r="59" spans="7:20" x14ac:dyDescent="0.25">
      <c r="G59" s="131" t="s">
        <v>140</v>
      </c>
      <c r="H59" s="37">
        <f t="shared" ref="H59:H62" si="24">H52</f>
        <v>4376.8180000000002</v>
      </c>
      <c r="I59" s="37">
        <f>H59-H37-$E$13</f>
        <v>3138.3700000000003</v>
      </c>
      <c r="J59" s="37">
        <f>I59-I37-$E$13</f>
        <v>1899.9220000000003</v>
      </c>
      <c r="K59" s="37">
        <f>J59-E13+F13-J37</f>
        <v>1514.4740000000002</v>
      </c>
      <c r="L59" s="37">
        <f>K59-$E$13</f>
        <v>1351.0260000000001</v>
      </c>
      <c r="M59" s="37">
        <f t="shared" ref="M59:R59" si="25">L59-$E$13</f>
        <v>1187.578</v>
      </c>
      <c r="N59" s="37">
        <f t="shared" si="25"/>
        <v>1024.1299999999999</v>
      </c>
      <c r="O59" s="37">
        <f t="shared" si="25"/>
        <v>860.6819999999999</v>
      </c>
      <c r="P59" s="37">
        <f t="shared" si="25"/>
        <v>697.23399999999992</v>
      </c>
      <c r="Q59" s="37">
        <f t="shared" si="25"/>
        <v>533.78599999999994</v>
      </c>
      <c r="R59" s="37">
        <f t="shared" si="25"/>
        <v>370.33799999999997</v>
      </c>
      <c r="S59" s="37" t="s">
        <v>66</v>
      </c>
      <c r="T59" s="143" t="s">
        <v>66</v>
      </c>
    </row>
    <row r="60" spans="7:20" x14ac:dyDescent="0.25">
      <c r="G60" s="131" t="s">
        <v>103</v>
      </c>
      <c r="H60" s="43">
        <f t="shared" si="24"/>
        <v>10340.718999999999</v>
      </c>
      <c r="I60" s="9">
        <f>H60-0.1*H38-E14</f>
        <v>9905.2899999999991</v>
      </c>
      <c r="J60" s="9">
        <f>I60-0.1*I38-E14+F14</f>
        <v>13345.860999999999</v>
      </c>
      <c r="K60" s="9">
        <f>J60-$E$14-0.1*J38</f>
        <v>12910.431999999999</v>
      </c>
      <c r="L60" s="9">
        <f t="shared" ref="L60:R60" si="26">K60-$E$14</f>
        <v>12700.102999999999</v>
      </c>
      <c r="M60" s="9">
        <f t="shared" si="26"/>
        <v>12489.773999999999</v>
      </c>
      <c r="N60" s="9">
        <f t="shared" si="26"/>
        <v>12279.445</v>
      </c>
      <c r="O60" s="9">
        <f t="shared" si="26"/>
        <v>12069.116</v>
      </c>
      <c r="P60" s="9">
        <f t="shared" si="26"/>
        <v>11858.787</v>
      </c>
      <c r="Q60" s="9">
        <f t="shared" si="26"/>
        <v>11648.458000000001</v>
      </c>
      <c r="R60" s="9">
        <f t="shared" si="26"/>
        <v>11438.129000000001</v>
      </c>
      <c r="S60" s="9">
        <f>R60-5*E14</f>
        <v>10386.484</v>
      </c>
      <c r="T60" s="22">
        <f>S60-10*E14</f>
        <v>8283.1939999999995</v>
      </c>
    </row>
    <row r="61" spans="7:20" x14ac:dyDescent="0.25">
      <c r="G61" s="131" t="s">
        <v>141</v>
      </c>
      <c r="H61" s="37">
        <f t="shared" si="24"/>
        <v>4185.43923</v>
      </c>
      <c r="I61" s="37">
        <f>H61-0.1*H37-$E$15</f>
        <v>3905.6548299999999</v>
      </c>
      <c r="J61" s="37">
        <f>I61-0.1*I37-$E$15+F15</f>
        <v>3829.4704299999999</v>
      </c>
      <c r="K61" s="37">
        <f>J61-$E$15-0.1*J38</f>
        <v>3432.0860299999999</v>
      </c>
      <c r="L61" s="37">
        <f t="shared" ref="L61:R61" si="27">K61-$E$15</f>
        <v>3259.8016299999999</v>
      </c>
      <c r="M61" s="37">
        <f t="shared" si="27"/>
        <v>3087.5172299999999</v>
      </c>
      <c r="N61" s="9">
        <f t="shared" si="27"/>
        <v>2915.2328299999999</v>
      </c>
      <c r="O61" s="9">
        <f t="shared" si="27"/>
        <v>2742.9484299999999</v>
      </c>
      <c r="P61" s="37">
        <f t="shared" si="27"/>
        <v>2570.6640299999999</v>
      </c>
      <c r="Q61" s="37">
        <f t="shared" si="27"/>
        <v>2398.3796299999999</v>
      </c>
      <c r="R61" s="37">
        <f t="shared" si="27"/>
        <v>2226.0952299999999</v>
      </c>
      <c r="S61" s="37">
        <f>R61-5*E15</f>
        <v>1364.6732299999999</v>
      </c>
      <c r="T61" s="143" t="s">
        <v>66</v>
      </c>
    </row>
    <row r="62" spans="7:20" ht="15.75" thickBot="1" x14ac:dyDescent="0.3">
      <c r="G62" s="144" t="s">
        <v>142</v>
      </c>
      <c r="H62" s="145">
        <f t="shared" si="24"/>
        <v>10570.182430000001</v>
      </c>
      <c r="I62" s="145">
        <f>H62-0.8*H38-L11</f>
        <v>7676.983430000002</v>
      </c>
      <c r="J62" s="145">
        <f>I62-0.8*I38+F16-M11</f>
        <v>9524.7534300000025</v>
      </c>
      <c r="K62" s="145">
        <f>J62-0.8*J38-N11</f>
        <v>6684.9444300000023</v>
      </c>
      <c r="L62" s="145">
        <f>K62-O11</f>
        <v>6097.1424300000026</v>
      </c>
      <c r="M62" s="145">
        <f t="shared" ref="M62:N62" si="28">L62-P11</f>
        <v>5511.5044300000027</v>
      </c>
      <c r="N62" s="149">
        <f t="shared" si="28"/>
        <v>4634.5994300000029</v>
      </c>
      <c r="O62" s="145">
        <f t="shared" ref="O62:R62" si="29">N62-$E$16</f>
        <v>4332.9256300000034</v>
      </c>
      <c r="P62" s="145">
        <f t="shared" si="29"/>
        <v>4031.2518300000033</v>
      </c>
      <c r="Q62" s="145">
        <f t="shared" si="29"/>
        <v>3729.5780300000033</v>
      </c>
      <c r="R62" s="145">
        <f t="shared" si="29"/>
        <v>3427.9042300000033</v>
      </c>
      <c r="S62" s="145">
        <f>R62-5*E16</f>
        <v>1919.5352300000031</v>
      </c>
      <c r="T62" s="146" t="s">
        <v>66</v>
      </c>
    </row>
    <row r="63" spans="7:20" ht="15.75" thickBot="1" x14ac:dyDescent="0.3">
      <c r="K63" s="51"/>
    </row>
    <row r="64" spans="7:20" ht="18.75" x14ac:dyDescent="0.25">
      <c r="G64" s="181" t="s">
        <v>119</v>
      </c>
      <c r="H64" s="151">
        <v>2025</v>
      </c>
      <c r="I64" s="151">
        <v>2026</v>
      </c>
      <c r="J64" s="151">
        <v>2027</v>
      </c>
      <c r="K64" s="151">
        <v>2028</v>
      </c>
      <c r="L64" s="151">
        <v>2029</v>
      </c>
      <c r="M64" s="151">
        <v>2030</v>
      </c>
      <c r="N64" s="151">
        <v>2031</v>
      </c>
      <c r="O64" s="151">
        <v>2032</v>
      </c>
      <c r="P64" s="151">
        <v>2033</v>
      </c>
      <c r="Q64" s="151">
        <v>2034</v>
      </c>
      <c r="R64" s="151">
        <v>2035</v>
      </c>
      <c r="S64" s="151">
        <v>2040</v>
      </c>
      <c r="T64" s="152">
        <v>2050</v>
      </c>
    </row>
    <row r="65" spans="7:20" x14ac:dyDescent="0.25">
      <c r="G65" s="153" t="s">
        <v>139</v>
      </c>
      <c r="H65" s="54" t="s">
        <v>66</v>
      </c>
      <c r="I65" s="54" t="s">
        <v>66</v>
      </c>
      <c r="J65" s="54" t="s">
        <v>66</v>
      </c>
      <c r="K65" s="54" t="s">
        <v>66</v>
      </c>
      <c r="L65" s="54" t="s">
        <v>66</v>
      </c>
      <c r="M65" s="54" t="s">
        <v>66</v>
      </c>
      <c r="N65" s="54" t="s">
        <v>66</v>
      </c>
      <c r="O65" s="54" t="s">
        <v>66</v>
      </c>
      <c r="P65" s="54" t="s">
        <v>66</v>
      </c>
      <c r="Q65" s="54" t="s">
        <v>66</v>
      </c>
      <c r="R65" s="54" t="s">
        <v>66</v>
      </c>
      <c r="S65" s="54" t="s">
        <v>66</v>
      </c>
      <c r="T65" s="154" t="s">
        <v>66</v>
      </c>
    </row>
    <row r="66" spans="7:20" x14ac:dyDescent="0.25">
      <c r="G66" s="155" t="s">
        <v>140</v>
      </c>
      <c r="H66" s="54">
        <f>H52-I42-I44</f>
        <v>3815.8180000000002</v>
      </c>
      <c r="I66" s="54">
        <f>H66-H37-$E$13</f>
        <v>2577.3700000000003</v>
      </c>
      <c r="J66" s="54">
        <f>I66-I37-$E$13</f>
        <v>1338.9220000000003</v>
      </c>
      <c r="K66" s="54">
        <f t="shared" ref="K66" si="30">J66-J37-$E$13</f>
        <v>100.47400000000025</v>
      </c>
      <c r="L66" s="54" t="s">
        <v>66</v>
      </c>
      <c r="M66" s="54" t="s">
        <v>66</v>
      </c>
      <c r="N66" s="54" t="s">
        <v>66</v>
      </c>
      <c r="O66" s="54" t="s">
        <v>66</v>
      </c>
      <c r="P66" s="54" t="s">
        <v>66</v>
      </c>
      <c r="Q66" s="54" t="s">
        <v>66</v>
      </c>
      <c r="R66" s="54" t="s">
        <v>66</v>
      </c>
      <c r="S66" s="54" t="s">
        <v>66</v>
      </c>
      <c r="T66" s="154" t="s">
        <v>66</v>
      </c>
    </row>
    <row r="67" spans="7:20" x14ac:dyDescent="0.25">
      <c r="G67" s="155" t="s">
        <v>103</v>
      </c>
      <c r="H67" s="182">
        <f>H53-I46</f>
        <v>9140.9179999999997</v>
      </c>
      <c r="I67" s="183">
        <f>H67-0.1*H38-$E$14</f>
        <v>8705.4889999999996</v>
      </c>
      <c r="J67" s="183">
        <f>I67-0.1*I38-$E$14</f>
        <v>8270.06</v>
      </c>
      <c r="K67" s="183">
        <f>J67-$E$14-0.1*J38</f>
        <v>7834.6309999999994</v>
      </c>
      <c r="L67" s="183">
        <f t="shared" ref="L67:R67" si="31">K67-$E$14</f>
        <v>7624.3019999999997</v>
      </c>
      <c r="M67" s="183">
        <f t="shared" si="31"/>
        <v>7413.973</v>
      </c>
      <c r="N67" s="183">
        <f t="shared" si="31"/>
        <v>7203.6440000000002</v>
      </c>
      <c r="O67" s="183">
        <f t="shared" si="31"/>
        <v>6993.3150000000005</v>
      </c>
      <c r="P67" s="183">
        <f t="shared" si="31"/>
        <v>6782.9860000000008</v>
      </c>
      <c r="Q67" s="183">
        <f t="shared" si="31"/>
        <v>6572.6570000000011</v>
      </c>
      <c r="R67" s="183">
        <f t="shared" si="31"/>
        <v>6362.3280000000013</v>
      </c>
      <c r="S67" s="183">
        <f>R67-5*E14</f>
        <v>5310.6830000000009</v>
      </c>
      <c r="T67" s="184">
        <f>S67-10*E14</f>
        <v>3207.3930000000009</v>
      </c>
    </row>
    <row r="68" spans="7:20" x14ac:dyDescent="0.25">
      <c r="G68" s="155" t="s">
        <v>141</v>
      </c>
      <c r="H68" s="182">
        <f>H54</f>
        <v>4185.43923</v>
      </c>
      <c r="I68" s="182">
        <f t="shared" ref="I68:T68" si="32">I54</f>
        <v>3788.05483</v>
      </c>
      <c r="J68" s="182">
        <f t="shared" si="32"/>
        <v>3390.6704300000001</v>
      </c>
      <c r="K68" s="182">
        <f t="shared" si="32"/>
        <v>2993.2860300000002</v>
      </c>
      <c r="L68" s="182">
        <f t="shared" si="32"/>
        <v>2821.0016300000002</v>
      </c>
      <c r="M68" s="182">
        <f t="shared" si="32"/>
        <v>2648.7172300000002</v>
      </c>
      <c r="N68" s="182">
        <f t="shared" si="32"/>
        <v>2476.4328300000002</v>
      </c>
      <c r="O68" s="54">
        <f t="shared" si="32"/>
        <v>2304.1484300000002</v>
      </c>
      <c r="P68" s="54">
        <f t="shared" si="32"/>
        <v>2131.8640300000002</v>
      </c>
      <c r="Q68" s="54">
        <f t="shared" si="32"/>
        <v>1959.5796300000002</v>
      </c>
      <c r="R68" s="54">
        <f t="shared" si="32"/>
        <v>1787.2952300000002</v>
      </c>
      <c r="S68" s="54">
        <f t="shared" si="32"/>
        <v>925.87323000000015</v>
      </c>
      <c r="T68" s="154" t="str">
        <f t="shared" si="32"/>
        <v>-</v>
      </c>
    </row>
    <row r="69" spans="7:20" ht="15.75" thickBot="1" x14ac:dyDescent="0.3">
      <c r="G69" s="156" t="s">
        <v>142</v>
      </c>
      <c r="H69" s="185">
        <f>H55</f>
        <v>10570.182430000001</v>
      </c>
      <c r="I69" s="185">
        <f t="shared" ref="I69:T69" si="33">I55</f>
        <v>7676.983430000002</v>
      </c>
      <c r="J69" s="185">
        <f t="shared" si="33"/>
        <v>4837.1534300000021</v>
      </c>
      <c r="K69" s="185">
        <f t="shared" si="33"/>
        <v>1997.3444300000019</v>
      </c>
      <c r="L69" s="185">
        <f t="shared" si="33"/>
        <v>1411.706430000002</v>
      </c>
      <c r="M69" s="185">
        <f t="shared" si="33"/>
        <v>826.06843000000197</v>
      </c>
      <c r="N69" s="185" t="str">
        <f t="shared" si="33"/>
        <v>-</v>
      </c>
      <c r="O69" s="185" t="str">
        <f t="shared" si="33"/>
        <v>-</v>
      </c>
      <c r="P69" s="185" t="str">
        <f t="shared" si="33"/>
        <v>-</v>
      </c>
      <c r="Q69" s="157" t="str">
        <f t="shared" si="33"/>
        <v>-</v>
      </c>
      <c r="R69" s="157" t="s">
        <v>66</v>
      </c>
      <c r="S69" s="157" t="s">
        <v>66</v>
      </c>
      <c r="T69" s="158" t="str">
        <f t="shared" si="33"/>
        <v>-</v>
      </c>
    </row>
  </sheetData>
  <mergeCells count="21">
    <mergeCell ref="G47:G48"/>
    <mergeCell ref="G34:K34"/>
    <mergeCell ref="G42:G43"/>
    <mergeCell ref="G40:L40"/>
    <mergeCell ref="A19:E19"/>
    <mergeCell ref="A30:E30"/>
    <mergeCell ref="G10:I10"/>
    <mergeCell ref="N1:P1"/>
    <mergeCell ref="G44:G45"/>
    <mergeCell ref="A35:E35"/>
    <mergeCell ref="A43:E43"/>
    <mergeCell ref="A1:C1"/>
    <mergeCell ref="A2:B3"/>
    <mergeCell ref="A4:B5"/>
    <mergeCell ref="A6:B11"/>
    <mergeCell ref="A12:B16"/>
    <mergeCell ref="J1:M1"/>
    <mergeCell ref="J9:R9"/>
    <mergeCell ref="J10:K10"/>
    <mergeCell ref="J11:K11"/>
    <mergeCell ref="J12:K12"/>
  </mergeCells>
  <pageMargins left="0.7" right="0.7" top="0.75" bottom="0.75" header="0.3" footer="0.3"/>
  <pageSetup paperSize="9" orientation="portrait" r:id="rId1"/>
  <ignoredErrors>
    <ignoredError sqref="J62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Kokkuvõte</vt:lpstr>
      <vt:lpstr>Rapla mk</vt:lpstr>
      <vt:lpstr>Pärnu mk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Hendrik Klaas</dc:creator>
  <cp:lastModifiedBy>Erki Vaguri</cp:lastModifiedBy>
  <dcterms:created xsi:type="dcterms:W3CDTF">2015-06-05T18:17:20Z</dcterms:created>
  <dcterms:modified xsi:type="dcterms:W3CDTF">2025-03-17T12:57:07Z</dcterms:modified>
</cp:coreProperties>
</file>